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038857F-89A7-44C7-ACED-9BFC922A836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F11" i="1"/>
  <c r="Q23" i="1"/>
  <c r="E22" i="1"/>
  <c r="F22" i="1"/>
  <c r="G22" i="1"/>
  <c r="I22" i="1"/>
  <c r="Q22" i="1"/>
  <c r="C21" i="1"/>
  <c r="G21" i="1"/>
  <c r="H21" i="1"/>
  <c r="E21" i="1"/>
  <c r="F21" i="1"/>
  <c r="A21" i="1"/>
  <c r="H20" i="1"/>
  <c r="G11" i="1"/>
  <c r="E14" i="1"/>
  <c r="C17" i="1"/>
  <c r="Q21" i="1"/>
  <c r="C12" i="1"/>
  <c r="C16" i="1" l="1"/>
  <c r="D18" i="1" s="1"/>
  <c r="E15" i="1"/>
  <c r="C11" i="1"/>
  <c r="O22" i="1" l="1"/>
  <c r="S22" i="1" s="1"/>
  <c r="O21" i="1"/>
  <c r="S21" i="1" s="1"/>
  <c r="O23" i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<sst xmlns="http://schemas.openxmlformats.org/spreadsheetml/2006/main" count="56" uniqueCount="53">
  <si>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</si>
  <si>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</si>
  <si>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</si>
  <si>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</si>
  <si>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</si>
  <si>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</si>
  <si>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</si>
  <si>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</si>
  <si>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</si>
  <si>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</si>
  <si>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</si>
  <si>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</si>
  <si>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</si>
  <si>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</si>
  <si>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</si>
  <si>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</si>
  <si>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</si>
  <si>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</si>
  <si>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</si>
  <si>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</si>
  <si>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</si>
  <si>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</si>
  <si>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</si>
  <si>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</si>
  <si>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</si>
  <si>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</si>
  <si>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</si>
  <si>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</si>
  <si>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</si>
  <si>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</si>
  <si>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</si>
  <si>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</si>
  <si>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</si>
  <si>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</si>
  <si>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</si>
  <si>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</si>
  <si>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</si>
  <si>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</si>
  <si>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</si>
  <si>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</si>
  <si>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</si>
  <si>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G0289-0144</t>
  </si>
  <si>
    <t>Vir</t>
  </si>
  <si>
    <t>G0289-0144_Vir.xls</t>
  </si>
  <si>
    <t>EW</t>
  </si>
  <si>
    <t>VSX</t>
  </si>
  <si>
    <t>OEJV 0130</t>
  </si>
  <si>
    <t>I</t>
  </si>
  <si>
    <t>OEJV</t>
  </si>
  <si>
    <t>IBVS 6164</t>
  </si>
  <si>
    <t>V0623 Vul / GSC 0289-0144</t>
  </si>
  <si>
    <t>Nelson pers com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</si>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</sst>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172" fontId="16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7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V0623 Vul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13191</c:v>
                </c:pt>
                <c:pt idx="2">
                  <c:v>19892.5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C1-4129-95CC-46B2E876BEE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13191</c:v>
                </c:pt>
                <c:pt idx="2">
                  <c:v>19892.5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1.2736999997287057E-2</c:v>
                </c:pt>
                <c:pt idx="2">
                  <c:v>1.9047499998123385E-2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C1-4129-95CC-46B2E876BEE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13191</c:v>
                </c:pt>
                <c:pt idx="2">
                  <c:v>19892.5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C1-4129-95CC-46B2E876BEE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13191</c:v>
                </c:pt>
                <c:pt idx="2">
                  <c:v>19892.5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C1-4129-95CC-46B2E876BEE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13191</c:v>
                </c:pt>
                <c:pt idx="2">
                  <c:v>19892.5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C1-4129-95CC-46B2E876BEE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13191</c:v>
                </c:pt>
                <c:pt idx="2">
                  <c:v>19892.5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C1-4129-95CC-46B2E876BEE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13191</c:v>
                </c:pt>
                <c:pt idx="2">
                  <c:v>19892.5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C1-4129-95CC-46B2E876BEE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13191</c:v>
                </c:pt>
                <c:pt idx="2">
                  <c:v>19892.5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2.3062895993252591E-5</c:v>
                </c:pt>
                <c:pt idx="1">
                  <c:v>1.266854089730261E-2</c:v>
                </c:pt>
                <c:pt idx="2">
                  <c:v>1.9092896202114577E-2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C1-4129-95CC-46B2E876BEE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13191</c:v>
                </c:pt>
                <c:pt idx="2">
                  <c:v>19892.5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EC1-4129-95CC-46B2E876B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129192"/>
        <c:axId val="1"/>
      </c:scatterChart>
      <c:valAx>
        <c:axId val="523129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3129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646616541353384"/>
          <c:y val="0.92375366568914952"/>
          <c:w val="0.7684210526315788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5BF49B4-CAC9-A3D4-3097-31E7197DB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43</v>
      </c>
    </row>
    <row r="2" spans="1:7" s="6" customFormat="1" ht="12.95" customHeight="1" x14ac:dyDescent="0.2">
      <c r="A2" s="6" t="s">
        <v>23</v>
      </c>
      <c r="B2" s="6" t="s">
        <v>44</v>
      </c>
      <c r="C2" s="7" t="s">
        <v>40</v>
      </c>
      <c r="D2" s="8" t="s">
        <v>42</v>
      </c>
      <c r="E2" s="3" t="s">
        <v>41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39</v>
      </c>
      <c r="D4" s="11" t="s">
        <v>39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6">
        <v>51947.872000000003</v>
      </c>
      <c r="D7" s="13" t="s">
        <v>45</v>
      </c>
    </row>
    <row r="8" spans="1:7" s="6" customFormat="1" ht="12.95" customHeight="1" x14ac:dyDescent="0.2">
      <c r="A8" s="6" t="s">
        <v>3</v>
      </c>
      <c r="C8" s="36">
        <v>0.26059300000000002</v>
      </c>
      <c r="D8" s="13" t="s">
        <v>45</v>
      </c>
    </row>
    <row r="9" spans="1:7" s="6" customFormat="1" ht="12.95" customHeight="1" x14ac:dyDescent="0.2">
      <c r="A9" s="14" t="s">
        <v>29</v>
      </c>
      <c r="C9" s="15">
        <v>-9.5</v>
      </c>
      <c r="D9" s="6" t="s">
        <v>30</v>
      </c>
    </row>
    <row r="10" spans="1:7" s="6" customFormat="1" ht="12.95" customHeight="1" thickBot="1" x14ac:dyDescent="0.25">
      <c r="C10" s="16" t="s">
        <v>19</v>
      </c>
      <c r="D10" s="16" t="s">
        <v>20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2.3062895993252591E-5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9.5864437884234384E-7</v>
      </c>
      <c r="D12" s="8"/>
    </row>
    <row r="13" spans="1:7" s="6" customFormat="1" ht="12.95" customHeight="1" x14ac:dyDescent="0.2">
      <c r="A13" s="6" t="s">
        <v>18</v>
      </c>
      <c r="C13" s="8" t="s">
        <v>13</v>
      </c>
      <c r="D13" s="19" t="s">
        <v>36</v>
      </c>
      <c r="E13" s="15">
        <v>1</v>
      </c>
    </row>
    <row r="14" spans="1:7" s="6" customFormat="1" ht="12.95" customHeight="1" x14ac:dyDescent="0.2">
      <c r="D14" s="19" t="s">
        <v>31</v>
      </c>
      <c r="E14" s="20">
        <f ca="1">NOW()+15018.5+$C$9/24</f>
        <v>60378.819888078702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57131.607048416881</v>
      </c>
      <c r="D15" s="19" t="s">
        <v>37</v>
      </c>
      <c r="E15" s="20">
        <f ca="1">ROUND(2*(E14-$C$7)/$C$8,0)/2+E13</f>
        <v>32354</v>
      </c>
    </row>
    <row r="16" spans="1:7" s="6" customFormat="1" ht="12.95" customHeight="1" x14ac:dyDescent="0.2">
      <c r="A16" s="9" t="s">
        <v>4</v>
      </c>
      <c r="C16" s="23">
        <f ca="1">+C8+C12</f>
        <v>0.26059395864437884</v>
      </c>
      <c r="D16" s="19" t="s">
        <v>38</v>
      </c>
      <c r="E16" s="17">
        <f ca="1">ROUND(2*(E14-$C$15)/$C$16,0)/2+E13</f>
        <v>12462</v>
      </c>
    </row>
    <row r="17" spans="1:24" s="6" customFormat="1" ht="12.95" customHeight="1" thickBot="1" x14ac:dyDescent="0.25">
      <c r="A17" s="19" t="s">
        <v>28</v>
      </c>
      <c r="C17" s="6">
        <f>COUNT(C21:C2191)</f>
        <v>3</v>
      </c>
      <c r="D17" s="19" t="s">
        <v>32</v>
      </c>
      <c r="E17" s="24">
        <f ca="1">+$C$15+$C$16*E16-15018.5-$C$9/24</f>
        <v>45361.024794376463</v>
      </c>
    </row>
    <row r="18" spans="1:24" s="6" customFormat="1" ht="12.95" customHeight="1" thickTop="1" thickBot="1" x14ac:dyDescent="0.25">
      <c r="A18" s="9" t="s">
        <v>5</v>
      </c>
      <c r="C18" s="25">
        <f ca="1">+C15</f>
        <v>57131.607048416881</v>
      </c>
      <c r="D18" s="26">
        <f ca="1">+C16</f>
        <v>0.26059395864437884</v>
      </c>
      <c r="E18" s="27" t="s">
        <v>33</v>
      </c>
    </row>
    <row r="19" spans="1:24" s="6" customFormat="1" ht="12.95" customHeight="1" thickTop="1" x14ac:dyDescent="0.2">
      <c r="A19" s="28" t="s">
        <v>34</v>
      </c>
      <c r="E19" s="29">
        <v>21</v>
      </c>
      <c r="S19" s="6">
        <f ca="1">SQRT(SUM(S21:S50)/(COUNT(S21:S50)-1))</f>
        <v>7.2239501259879914E-5</v>
      </c>
    </row>
    <row r="20" spans="1:24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48</v>
      </c>
      <c r="J20" s="30" t="s">
        <v>52</v>
      </c>
      <c r="K20" s="30" t="s">
        <v>24</v>
      </c>
      <c r="L20" s="30" t="s">
        <v>25</v>
      </c>
      <c r="M20" s="30" t="s">
        <v>26</v>
      </c>
      <c r="N20" s="30" t="s">
        <v>27</v>
      </c>
      <c r="O20" s="30" t="s">
        <v>22</v>
      </c>
      <c r="P20" s="31" t="s">
        <v>21</v>
      </c>
      <c r="Q20" s="16" t="s">
        <v>14</v>
      </c>
      <c r="R20" s="32" t="s">
        <v>35</v>
      </c>
    </row>
    <row r="21" spans="1:24" s="6" customFormat="1" ht="12.95" customHeight="1" x14ac:dyDescent="0.2">
      <c r="A21" s="6" t="str">
        <f>D7</f>
        <v>VSX</v>
      </c>
      <c r="C21" s="12">
        <f>C$7</f>
        <v>51947.872000000003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2.3062895993252591E-5</v>
      </c>
      <c r="Q21" s="33">
        <f>+C21-15018.5</f>
        <v>36929.372000000003</v>
      </c>
      <c r="S21" s="6">
        <f ca="1">+(O21-G21)^2</f>
        <v>5.3189717159558642E-10</v>
      </c>
    </row>
    <row r="22" spans="1:24" s="6" customFormat="1" ht="12.95" customHeight="1" x14ac:dyDescent="0.2">
      <c r="A22" s="4" t="s">
        <v>46</v>
      </c>
      <c r="B22" s="5" t="s">
        <v>47</v>
      </c>
      <c r="C22" s="4">
        <v>55385.366999999998</v>
      </c>
      <c r="D22" s="4">
        <v>4.0000000000000001E-3</v>
      </c>
      <c r="E22" s="6">
        <f>+(C22-C$7)/C$8</f>
        <v>13191.048876984398</v>
      </c>
      <c r="F22" s="6">
        <f>ROUND(2*E22,0)/2</f>
        <v>13191</v>
      </c>
      <c r="G22" s="6">
        <f>+C22-(C$7+F22*C$8)</f>
        <v>1.2736999997287057E-2</v>
      </c>
      <c r="I22" s="6">
        <f>+G22</f>
        <v>1.2736999997287057E-2</v>
      </c>
      <c r="O22" s="6">
        <f ca="1">+C$11+C$12*$F22</f>
        <v>1.266854089730261E-2</v>
      </c>
      <c r="Q22" s="33">
        <f>+C22-15018.5</f>
        <v>40366.866999999998</v>
      </c>
      <c r="S22" s="6">
        <f ca="1">+(O22-G22)^2</f>
        <v>4.6866483706806052E-9</v>
      </c>
    </row>
    <row r="23" spans="1:24" s="6" customFormat="1" ht="12.95" customHeight="1" x14ac:dyDescent="0.2">
      <c r="A23" s="9" t="s">
        <v>49</v>
      </c>
      <c r="C23" s="34">
        <v>57131.737300000001</v>
      </c>
      <c r="D23" s="35">
        <v>5.0000000000000001E-4</v>
      </c>
      <c r="E23" s="6">
        <f>+(C23-C$7)/C$8</f>
        <v>19892.573092907322</v>
      </c>
      <c r="F23" s="6">
        <f>ROUND(2*E23,0)/2</f>
        <v>19892.5</v>
      </c>
      <c r="G23" s="6">
        <f>+C23-(C$7+F23*C$8)</f>
        <v>1.9047499998123385E-2</v>
      </c>
      <c r="I23" s="6">
        <f>+G23</f>
        <v>1.9047499998123385E-2</v>
      </c>
      <c r="O23" s="6">
        <f ca="1">+C$11+C$12*$F23</f>
        <v>1.9092896202114577E-2</v>
      </c>
      <c r="Q23" s="33">
        <f>+C23-15018.5</f>
        <v>42113.237300000001</v>
      </c>
      <c r="X23" s="37" t="s">
        <v>51</v>
      </c>
    </row>
    <row r="24" spans="1:24" s="6" customFormat="1" ht="12.95" customHeight="1" x14ac:dyDescent="0.2">
      <c r="C24" s="12"/>
      <c r="D24" s="12"/>
      <c r="Q24" s="33"/>
    </row>
    <row r="25" spans="1:24" s="6" customFormat="1" ht="12.95" customHeight="1" x14ac:dyDescent="0.2">
      <c r="C25" s="12"/>
      <c r="D25" s="12"/>
      <c r="Q25" s="33"/>
    </row>
    <row r="26" spans="1:24" s="6" customFormat="1" ht="12.95" customHeight="1" x14ac:dyDescent="0.2">
      <c r="C26" s="12"/>
      <c r="D26" s="12"/>
      <c r="Q26" s="33"/>
    </row>
    <row r="27" spans="1:24" s="6" customFormat="1" ht="12.95" customHeight="1" x14ac:dyDescent="0.2">
      <c r="C27" s="12"/>
      <c r="D27" s="12"/>
      <c r="Q27" s="33"/>
    </row>
    <row r="28" spans="1:24" s="6" customFormat="1" ht="12.95" customHeight="1" x14ac:dyDescent="0.2">
      <c r="C28" s="12"/>
      <c r="D28" s="12"/>
      <c r="Q28" s="33"/>
    </row>
    <row r="29" spans="1:24" s="6" customFormat="1" ht="12.95" customHeight="1" x14ac:dyDescent="0.2">
      <c r="C29" s="12"/>
      <c r="D29" s="12"/>
      <c r="Q29" s="33"/>
    </row>
    <row r="30" spans="1:24" s="6" customFormat="1" ht="12.95" customHeight="1" x14ac:dyDescent="0.2">
      <c r="C30" s="12"/>
      <c r="D30" s="12"/>
      <c r="Q30" s="33"/>
    </row>
    <row r="31" spans="1:24" s="6" customFormat="1" ht="12.95" customHeight="1" x14ac:dyDescent="0.2">
      <c r="C31" s="12"/>
      <c r="D31" s="12"/>
      <c r="Q31" s="33"/>
    </row>
    <row r="32" spans="1:24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2024-03-09T06:40:38Z</dcterms:modified>
</cp:coreProperties>
</file>