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D66900B-3719-4217-8E77-D1DA4E48F9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F15" i="1" l="1"/>
  <c r="C7" i="1" l="1"/>
  <c r="C8" i="1"/>
  <c r="E22" i="1"/>
  <c r="F22" i="1"/>
  <c r="G22" i="1"/>
  <c r="I22" i="1"/>
  <c r="E23" i="1"/>
  <c r="F23" i="1"/>
  <c r="G23" i="1"/>
  <c r="I23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E50" i="1"/>
  <c r="F50" i="1"/>
  <c r="G50" i="1"/>
  <c r="K50" i="1"/>
  <c r="E52" i="1"/>
  <c r="F52" i="1"/>
  <c r="G52" i="1"/>
  <c r="K52" i="1"/>
  <c r="D9" i="1"/>
  <c r="C9" i="1"/>
  <c r="E49" i="1"/>
  <c r="F49" i="1"/>
  <c r="G49" i="1"/>
  <c r="K49" i="1"/>
  <c r="E51" i="1"/>
  <c r="F51" i="1"/>
  <c r="G51" i="1"/>
  <c r="K51" i="1"/>
  <c r="E53" i="1"/>
  <c r="F53" i="1"/>
  <c r="G53" i="1"/>
  <c r="K53" i="1"/>
  <c r="E54" i="1"/>
  <c r="F54" i="1"/>
  <c r="G54" i="1"/>
  <c r="K54" i="1"/>
  <c r="E55" i="1"/>
  <c r="F55" i="1"/>
  <c r="G55" i="1"/>
  <c r="E56" i="1"/>
  <c r="F56" i="1"/>
  <c r="G56" i="1"/>
  <c r="K56" i="1"/>
  <c r="E57" i="1"/>
  <c r="F57" i="1"/>
  <c r="G57" i="1"/>
  <c r="K57" i="1"/>
  <c r="E58" i="1"/>
  <c r="F58" i="1"/>
  <c r="G58" i="1"/>
  <c r="K58" i="1"/>
  <c r="E59" i="1"/>
  <c r="F59" i="1"/>
  <c r="G59" i="1"/>
  <c r="K59" i="1"/>
  <c r="E21" i="1"/>
  <c r="F21" i="1"/>
  <c r="G21" i="1"/>
  <c r="I21" i="1"/>
  <c r="C24" i="1"/>
  <c r="E24" i="1"/>
  <c r="F24" i="1"/>
  <c r="Q22" i="1"/>
  <c r="Q23" i="1"/>
  <c r="Q25" i="1"/>
  <c r="Q26" i="1"/>
  <c r="Q27" i="1"/>
  <c r="Q28" i="1"/>
  <c r="Q29" i="1"/>
  <c r="Q30" i="1"/>
  <c r="Q31" i="1"/>
  <c r="Q32" i="1"/>
  <c r="Q33" i="1"/>
  <c r="Q34" i="1"/>
  <c r="Q35" i="1"/>
  <c r="Q36" i="1"/>
  <c r="I37" i="1"/>
  <c r="Q37" i="1"/>
  <c r="Q38" i="1"/>
  <c r="Q39" i="1"/>
  <c r="Q40" i="1"/>
  <c r="Q41" i="1"/>
  <c r="Q42" i="1"/>
  <c r="Q43" i="1"/>
  <c r="Q44" i="1"/>
  <c r="Q45" i="1"/>
  <c r="Q46" i="1"/>
  <c r="Q47" i="1"/>
  <c r="Q48" i="1"/>
  <c r="Q50" i="1"/>
  <c r="Q52" i="1"/>
  <c r="Q21" i="1"/>
  <c r="G16" i="2"/>
  <c r="C16" i="2"/>
  <c r="E16" i="2"/>
  <c r="G15" i="2"/>
  <c r="C15" i="2"/>
  <c r="E15" i="2"/>
  <c r="G14" i="2"/>
  <c r="C14" i="2"/>
  <c r="E14" i="2"/>
  <c r="G13" i="2"/>
  <c r="C13" i="2"/>
  <c r="E13" i="2"/>
  <c r="G48" i="2"/>
  <c r="C48" i="2"/>
  <c r="E48" i="2"/>
  <c r="G47" i="2"/>
  <c r="C47" i="2"/>
  <c r="E47" i="2"/>
  <c r="G46" i="2"/>
  <c r="C46" i="2"/>
  <c r="E46" i="2"/>
  <c r="G45" i="2"/>
  <c r="C45" i="2"/>
  <c r="E45" i="2"/>
  <c r="G12" i="2"/>
  <c r="C12" i="2"/>
  <c r="E12" i="2"/>
  <c r="G44" i="2"/>
  <c r="C44" i="2"/>
  <c r="E44" i="2"/>
  <c r="G11" i="2"/>
  <c r="C11" i="2"/>
  <c r="E11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12" i="2"/>
  <c r="D12" i="2"/>
  <c r="B12" i="2"/>
  <c r="A12" i="2"/>
  <c r="H44" i="2"/>
  <c r="D44" i="2"/>
  <c r="B44" i="2"/>
  <c r="A44" i="2"/>
  <c r="H11" i="2"/>
  <c r="D11" i="2"/>
  <c r="B11" i="2"/>
  <c r="A11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Q59" i="1"/>
  <c r="Q58" i="1"/>
  <c r="Q57" i="1"/>
  <c r="Q56" i="1"/>
  <c r="Q53" i="1"/>
  <c r="Q54" i="1"/>
  <c r="K55" i="1"/>
  <c r="Q55" i="1"/>
  <c r="C17" i="1"/>
  <c r="Q51" i="1"/>
  <c r="Q49" i="1"/>
  <c r="Q24" i="1"/>
  <c r="G24" i="1"/>
  <c r="H24" i="1"/>
  <c r="C11" i="1"/>
  <c r="C12" i="1"/>
  <c r="C16" i="1" l="1"/>
  <c r="D18" i="1" s="1"/>
  <c r="O40" i="1"/>
  <c r="O24" i="1"/>
  <c r="O50" i="1"/>
  <c r="O49" i="1"/>
  <c r="O42" i="1"/>
  <c r="O56" i="1"/>
  <c r="O22" i="1"/>
  <c r="O52" i="1"/>
  <c r="O38" i="1"/>
  <c r="O28" i="1"/>
  <c r="O31" i="1"/>
  <c r="O59" i="1"/>
  <c r="O46" i="1"/>
  <c r="O39" i="1"/>
  <c r="O29" i="1"/>
  <c r="O27" i="1"/>
  <c r="O47" i="1"/>
  <c r="O25" i="1"/>
  <c r="O54" i="1"/>
  <c r="O45" i="1"/>
  <c r="O33" i="1"/>
  <c r="O41" i="1"/>
  <c r="O48" i="1"/>
  <c r="O30" i="1"/>
  <c r="O36" i="1"/>
  <c r="O53" i="1"/>
  <c r="O37" i="1"/>
  <c r="O55" i="1"/>
  <c r="O44" i="1"/>
  <c r="O26" i="1"/>
  <c r="O32" i="1"/>
  <c r="O51" i="1"/>
  <c r="O58" i="1"/>
  <c r="O57" i="1"/>
  <c r="O23" i="1"/>
  <c r="C15" i="1"/>
  <c r="O34" i="1"/>
  <c r="O35" i="1"/>
  <c r="O21" i="1"/>
  <c r="O43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<sst xmlns="http://schemas.openxmlformats.org/spreadsheetml/2006/main" count="418" uniqueCount="195">
  <si>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</si>
  <si>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</si>
  <si>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</si>
  <si>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</si>
  <si>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</si>
  <si>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</si>
  <si>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</si>
  <si>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</si>
  <si>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</si>
  <si>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</si>
  <si>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</si>
  <si>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</si>
  <si>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</si>
  <si>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</si>
  <si>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</si>
  <si>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</si>
  <si>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</si>
  <si>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</si>
  <si>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</si>
  <si>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</si>
  <si>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</si>
  <si>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</si>
  <si>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</si>
  <si>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</si>
  <si>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</si>
  <si>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</si>
  <si>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</si>
  <si>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</si>
  <si>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EA/KE:</t>
  </si>
  <si>
    <t>IBVS 5296</t>
  </si>
  <si>
    <t>My time zone &gt;&gt;&gt;&gt;&gt;</t>
  </si>
  <si>
    <t>(PST=8, PDT=MDT=7, MDT=CST=6, etc.)</t>
  </si>
  <si>
    <t>JD today</t>
  </si>
  <si>
    <t>New Cycle</t>
  </si>
  <si>
    <t># of data points:</t>
  </si>
  <si>
    <t>Start of linear fit &gt;&gt;&gt;&gt;&gt;&gt;&gt;&gt;&gt;&gt;&gt;&gt;&gt;&gt;&gt;&gt;&gt;&gt;&gt;&gt;&gt;</t>
  </si>
  <si>
    <t>IBVS 5761</t>
  </si>
  <si>
    <t>I</t>
  </si>
  <si>
    <t>AB Vul / GSC 2152-4146</t>
  </si>
  <si>
    <t>Add cycle</t>
  </si>
  <si>
    <t>Old Cycle</t>
  </si>
  <si>
    <t>OEJV 0137</t>
  </si>
  <si>
    <t>IBVS 6010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</si>
  <si>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</si>
  <si>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</si>
  <si>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</si>
  <si>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</si>
  <si>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</si>
  <si>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</si>
  <si>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</si>
  <si>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</si>
  <si>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</si>
  <si>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</si>
  <si>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</si>
  <si>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</si>
  <si>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</si>
  <si>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2423612.368 </t>
  </si>
  <si>
    <t> 11.07.1923 20:49 </t>
  </si>
  <si>
    <t> -0.159 </t>
  </si>
  <si>
    <t>P </t>
  </si>
  <si>
    <t> A.A.Wachmann </t>
  </si>
  <si>
    <t> AAAN 11.5.12 </t>
  </si>
  <si>
    <t>2425145.430 </t>
  </si>
  <si>
    <t> 21.09.1927 22:19 </t>
  </si>
  <si>
    <t> -0.037 </t>
  </si>
  <si>
    <t> P.Ahnert </t>
  </si>
  <si>
    <t> KVBB 24.85 </t>
  </si>
  <si>
    <t>2425145.457 </t>
  </si>
  <si>
    <t> 21.09.1927 22:58 </t>
  </si>
  <si>
    <t> -0.010 </t>
  </si>
  <si>
    <t>2425170.318 </t>
  </si>
  <si>
    <t> 16.10.1927 19:37 </t>
  </si>
  <si>
    <t> 0.008 </t>
  </si>
  <si>
    <t>2425307.682 </t>
  </si>
  <si>
    <t> 02.03.1928 04:22 </t>
  </si>
  <si>
    <t> 0.007 </t>
  </si>
  <si>
    <t>2425329.616 </t>
  </si>
  <si>
    <t> 24.03.1928 02:47 </t>
  </si>
  <si>
    <t> 0.021 </t>
  </si>
  <si>
    <t>2425427.484 </t>
  </si>
  <si>
    <t> 29.06.1928 23:36 </t>
  </si>
  <si>
    <t> -0.021 </t>
  </si>
  <si>
    <t>2425465.546 </t>
  </si>
  <si>
    <t> 07.08.1928 01:06 </t>
  </si>
  <si>
    <t> 0.047 </t>
  </si>
  <si>
    <t>2428122.235 </t>
  </si>
  <si>
    <t> 15.11.1935 17:38 </t>
  </si>
  <si>
    <t> 0.030 </t>
  </si>
  <si>
    <t>2428420.320 </t>
  </si>
  <si>
    <t> 08.09.1936 19:40 </t>
  </si>
  <si>
    <t> 0.003 </t>
  </si>
  <si>
    <t>2428860.215 </t>
  </si>
  <si>
    <t> 22.11.1937 17:09 </t>
  </si>
  <si>
    <t> 0.036 </t>
  </si>
  <si>
    <t>2429193.327 </t>
  </si>
  <si>
    <t> 21.10.1938 19:50 </t>
  </si>
  <si>
    <t> -0.036 </t>
  </si>
  <si>
    <t>2432763.395 </t>
  </si>
  <si>
    <t> 30.07.1948 21:28 </t>
  </si>
  <si>
    <t> -0.008 </t>
  </si>
  <si>
    <t> AHSB 6.2.162 </t>
  </si>
  <si>
    <t>2433498.455 </t>
  </si>
  <si>
    <t> 04.08.1950 22:55 </t>
  </si>
  <si>
    <t> 0.001 </t>
  </si>
  <si>
    <t>2433542.300 </t>
  </si>
  <si>
    <t> 17.09.1950 19:12 </t>
  </si>
  <si>
    <t> 0.006 </t>
  </si>
  <si>
    <t>2434119.525 </t>
  </si>
  <si>
    <t> 17.04.1952 00:36 </t>
  </si>
  <si>
    <t> 0.004 </t>
  </si>
  <si>
    <t>2434157.520 </t>
  </si>
  <si>
    <t> 25.05.1952 00:28 </t>
  </si>
  <si>
    <t>2434214.530 </t>
  </si>
  <si>
    <t> 21.07.1952 00:43 </t>
  </si>
  <si>
    <t> 0.022 </t>
  </si>
  <si>
    <t>2434239.352 </t>
  </si>
  <si>
    <t> 14.08.1952 20:26 </t>
  </si>
  <si>
    <t> 0.002 </t>
  </si>
  <si>
    <t>2434455.620 </t>
  </si>
  <si>
    <t> 19.03.1953 02:52 </t>
  </si>
  <si>
    <t>2434629.515 </t>
  </si>
  <si>
    <t> 09.09.1953 00:21 </t>
  </si>
  <si>
    <t> -0.012 </t>
  </si>
  <si>
    <t>2434692.370 </t>
  </si>
  <si>
    <t> 10.11.1953 20:52 </t>
  </si>
  <si>
    <t>2434714.280 </t>
  </si>
  <si>
    <t> 02.12.1953 18:43 </t>
  </si>
  <si>
    <t> -0.004 </t>
  </si>
  <si>
    <t>2435009.480 </t>
  </si>
  <si>
    <t> 23.09.1954 23:31 </t>
  </si>
  <si>
    <t>2435310.505 </t>
  </si>
  <si>
    <t> 22.07.1955 00:07 </t>
  </si>
  <si>
    <t>2435373.345 </t>
  </si>
  <si>
    <t> 22.09.1955 20:16 </t>
  </si>
  <si>
    <t> -0.001 </t>
  </si>
  <si>
    <t>2436846.360 </t>
  </si>
  <si>
    <t> 04.10.1959 20:38 </t>
  </si>
  <si>
    <t> -0.011 </t>
  </si>
  <si>
    <t>2452073.4467 </t>
  </si>
  <si>
    <t> 12.06.2001 22:43 </t>
  </si>
  <si>
    <t> -0.0274 </t>
  </si>
  <si>
    <t>E </t>
  </si>
  <si>
    <t>o</t>
  </si>
  <si>
    <t> F.Agerer </t>
  </si>
  <si>
    <t>BAVM 152 </t>
  </si>
  <si>
    <t>2452133.3639 </t>
  </si>
  <si>
    <t> 11.08.2001 20:44 </t>
  </si>
  <si>
    <t> -0.0250 </t>
  </si>
  <si>
    <t>?</t>
  </si>
  <si>
    <t> R.Diethelm </t>
  </si>
  <si>
    <t> BBS 126 </t>
  </si>
  <si>
    <t>2453942.4907 </t>
  </si>
  <si>
    <t> 25.07.2006 23:46 </t>
  </si>
  <si>
    <t> -0.0300 </t>
  </si>
  <si>
    <t>C </t>
  </si>
  <si>
    <t>-I</t>
  </si>
  <si>
    <t> F. Agerer </t>
  </si>
  <si>
    <t>BAVM 183 </t>
  </si>
  <si>
    <t>2455060.4105 </t>
  </si>
  <si>
    <t> 16.08.2009 21:51 </t>
  </si>
  <si>
    <t>20471</t>
  </si>
  <si>
    <t> -0.0310 </t>
  </si>
  <si>
    <t>BAVM 212 </t>
  </si>
  <si>
    <t>2455481.2734 </t>
  </si>
  <si>
    <t> 11.10.2010 18:33 </t>
  </si>
  <si>
    <t>20759</t>
  </si>
  <si>
    <t> -0.0323 </t>
  </si>
  <si>
    <t>R</t>
  </si>
  <si>
    <t> M.Lehky </t>
  </si>
  <si>
    <t>OEJV 0137 </t>
  </si>
  <si>
    <t>2455481.2735 </t>
  </si>
  <si>
    <t> -0.0322 </t>
  </si>
  <si>
    <t>2455481.2736 </t>
  </si>
  <si>
    <t> -0.0321 </t>
  </si>
  <si>
    <t>2455776.4629 </t>
  </si>
  <si>
    <t> 02.08.2011 23:06 </t>
  </si>
  <si>
    <t>20961</t>
  </si>
  <si>
    <t> -0.0324 </t>
  </si>
  <si>
    <t>BAVM 220 </t>
  </si>
  <si>
    <t>2456175.40619 </t>
  </si>
  <si>
    <t> 04.09.2012 21:44 </t>
  </si>
  <si>
    <t> -0.03334 </t>
  </si>
  <si>
    <t>OEJV 0160 </t>
  </si>
  <si>
    <t>2456175.40663 </t>
  </si>
  <si>
    <t> 04.09.2012 21:45 </t>
  </si>
  <si>
    <t> -0.03290 </t>
  </si>
  <si>
    <t>2456175.40711 </t>
  </si>
  <si>
    <t> 04.09.2012 21:46 </t>
  </si>
  <si>
    <t> -0.03242 </t>
  </si>
  <si>
    <t xml:space="preserve">Mag </t>
  </si>
  <si>
    <t>Next ToM-P</t>
  </si>
  <si>
    <t>Next ToM-S</t>
  </si>
  <si>
    <t>12.40-12.90</t>
  </si>
  <si>
    <t>VSX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</si>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</sst>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66">
    <xf numFmtId="0" fontId="0" fillId="0" borderId="0" xfId="0" applyAlignment="1"/>
    <xf numFmtId="14" fontId="0" fillId="0" borderId="0" xfId="0" applyNumberFormat="1" applyAlignme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18" fillId="3" borderId="12" xfId="0" applyFont="1" applyFill="1" applyBorder="1" applyAlignment="1">
      <alignment horizontal="right" vertical="center"/>
    </xf>
    <xf numFmtId="0" fontId="18" fillId="3" borderId="13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22" fontId="20" fillId="0" borderId="15" xfId="0" applyNumberFormat="1" applyFont="1" applyBorder="1" applyAlignment="1">
      <alignment horizontal="right" vertical="center"/>
    </xf>
    <xf numFmtId="22" fontId="20" fillId="0" borderId="16" xfId="0" applyNumberFormat="1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22" fillId="0" borderId="4" xfId="0" applyFont="1" applyBorder="1" applyAlignment="1">
      <alignment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AB Vul - O-C Diagr.</a:t>
            </a:r>
          </a:p>
        </c:rich>
      </c:tx>
      <c:layout>
        <c:manualLayout>
          <c:xMode val="edge"/>
          <c:yMode val="edge"/>
          <c:x val="0.3812604361449972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93705899846258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-1049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</c:v>
                </c:pt>
                <c:pt idx="5">
                  <c:v>111</c:v>
                </c:pt>
                <c:pt idx="6">
                  <c:v>126</c:v>
                </c:pt>
                <c:pt idx="7">
                  <c:v>193</c:v>
                </c:pt>
                <c:pt idx="8">
                  <c:v>219</c:v>
                </c:pt>
                <c:pt idx="9">
                  <c:v>2037</c:v>
                </c:pt>
                <c:pt idx="10">
                  <c:v>2241</c:v>
                </c:pt>
                <c:pt idx="11">
                  <c:v>2542</c:v>
                </c:pt>
                <c:pt idx="12">
                  <c:v>2770</c:v>
                </c:pt>
                <c:pt idx="13">
                  <c:v>5213</c:v>
                </c:pt>
                <c:pt idx="14">
                  <c:v>5716</c:v>
                </c:pt>
                <c:pt idx="15">
                  <c:v>5746</c:v>
                </c:pt>
                <c:pt idx="16">
                  <c:v>6141</c:v>
                </c:pt>
                <c:pt idx="17">
                  <c:v>6167</c:v>
                </c:pt>
                <c:pt idx="18">
                  <c:v>6206</c:v>
                </c:pt>
                <c:pt idx="19">
                  <c:v>6223</c:v>
                </c:pt>
                <c:pt idx="20">
                  <c:v>6371</c:v>
                </c:pt>
                <c:pt idx="21">
                  <c:v>6490</c:v>
                </c:pt>
                <c:pt idx="22">
                  <c:v>6533</c:v>
                </c:pt>
                <c:pt idx="23">
                  <c:v>6548</c:v>
                </c:pt>
                <c:pt idx="24">
                  <c:v>6750</c:v>
                </c:pt>
                <c:pt idx="25">
                  <c:v>6956</c:v>
                </c:pt>
                <c:pt idx="26">
                  <c:v>6999</c:v>
                </c:pt>
                <c:pt idx="27">
                  <c:v>8007</c:v>
                </c:pt>
                <c:pt idx="28">
                  <c:v>18427</c:v>
                </c:pt>
                <c:pt idx="29">
                  <c:v>18468</c:v>
                </c:pt>
                <c:pt idx="30">
                  <c:v>19706</c:v>
                </c:pt>
                <c:pt idx="31">
                  <c:v>20471</c:v>
                </c:pt>
                <c:pt idx="32">
                  <c:v>20759</c:v>
                </c:pt>
                <c:pt idx="33">
                  <c:v>20759</c:v>
                </c:pt>
                <c:pt idx="34">
                  <c:v>20759</c:v>
                </c:pt>
                <c:pt idx="35">
                  <c:v>20961</c:v>
                </c:pt>
                <c:pt idx="36">
                  <c:v>21234</c:v>
                </c:pt>
                <c:pt idx="37">
                  <c:v>21234</c:v>
                </c:pt>
                <c:pt idx="38">
                  <c:v>21234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CE-4D3D-9592-2F77F7E714D5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3">
                    <c:v>0</c:v>
                  </c:pt>
                  <c:pt idx="28">
                    <c:v>2.0000000000000001E-4</c:v>
                  </c:pt>
                  <c:pt idx="30">
                    <c:v>1.1999999999999999E-3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3">
                    <c:v>0</c:v>
                  </c:pt>
                  <c:pt idx="28">
                    <c:v>2.0000000000000001E-4</c:v>
                  </c:pt>
                  <c:pt idx="30">
                    <c:v>1.1999999999999999E-3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-1049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</c:v>
                </c:pt>
                <c:pt idx="5">
                  <c:v>111</c:v>
                </c:pt>
                <c:pt idx="6">
                  <c:v>126</c:v>
                </c:pt>
                <c:pt idx="7">
                  <c:v>193</c:v>
                </c:pt>
                <c:pt idx="8">
                  <c:v>219</c:v>
                </c:pt>
                <c:pt idx="9">
                  <c:v>2037</c:v>
                </c:pt>
                <c:pt idx="10">
                  <c:v>2241</c:v>
                </c:pt>
                <c:pt idx="11">
                  <c:v>2542</c:v>
                </c:pt>
                <c:pt idx="12">
                  <c:v>2770</c:v>
                </c:pt>
                <c:pt idx="13">
                  <c:v>5213</c:v>
                </c:pt>
                <c:pt idx="14">
                  <c:v>5716</c:v>
                </c:pt>
                <c:pt idx="15">
                  <c:v>5746</c:v>
                </c:pt>
                <c:pt idx="16">
                  <c:v>6141</c:v>
                </c:pt>
                <c:pt idx="17">
                  <c:v>6167</c:v>
                </c:pt>
                <c:pt idx="18">
                  <c:v>6206</c:v>
                </c:pt>
                <c:pt idx="19">
                  <c:v>6223</c:v>
                </c:pt>
                <c:pt idx="20">
                  <c:v>6371</c:v>
                </c:pt>
                <c:pt idx="21">
                  <c:v>6490</c:v>
                </c:pt>
                <c:pt idx="22">
                  <c:v>6533</c:v>
                </c:pt>
                <c:pt idx="23">
                  <c:v>6548</c:v>
                </c:pt>
                <c:pt idx="24">
                  <c:v>6750</c:v>
                </c:pt>
                <c:pt idx="25">
                  <c:v>6956</c:v>
                </c:pt>
                <c:pt idx="26">
                  <c:v>6999</c:v>
                </c:pt>
                <c:pt idx="27">
                  <c:v>8007</c:v>
                </c:pt>
                <c:pt idx="28">
                  <c:v>18427</c:v>
                </c:pt>
                <c:pt idx="29">
                  <c:v>18468</c:v>
                </c:pt>
                <c:pt idx="30">
                  <c:v>19706</c:v>
                </c:pt>
                <c:pt idx="31">
                  <c:v>20471</c:v>
                </c:pt>
                <c:pt idx="32">
                  <c:v>20759</c:v>
                </c:pt>
                <c:pt idx="33">
                  <c:v>20759</c:v>
                </c:pt>
                <c:pt idx="34">
                  <c:v>20759</c:v>
                </c:pt>
                <c:pt idx="35">
                  <c:v>20961</c:v>
                </c:pt>
                <c:pt idx="36">
                  <c:v>21234</c:v>
                </c:pt>
                <c:pt idx="37">
                  <c:v>21234</c:v>
                </c:pt>
                <c:pt idx="38">
                  <c:v>21234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-0.15931930000078864</c:v>
                </c:pt>
                <c:pt idx="1">
                  <c:v>-3.7000000000261934E-2</c:v>
                </c:pt>
                <c:pt idx="2">
                  <c:v>-1.0000000002037268E-2</c:v>
                </c:pt>
                <c:pt idx="4">
                  <c:v>8.3168999990448356E-3</c:v>
                </c:pt>
                <c:pt idx="5">
                  <c:v>6.8926999992982019E-3</c:v>
                </c:pt>
                <c:pt idx="6">
                  <c:v>2.0878200000879588E-2</c:v>
                </c:pt>
                <c:pt idx="7">
                  <c:v>-2.0519900001090718E-2</c:v>
                </c:pt>
                <c:pt idx="8">
                  <c:v>4.6788299998297589E-2</c:v>
                </c:pt>
                <c:pt idx="9">
                  <c:v>3.0030900001293048E-2</c:v>
                </c:pt>
                <c:pt idx="10">
                  <c:v>2.8337000003375579E-3</c:v>
                </c:pt>
                <c:pt idx="11">
                  <c:v>3.6209399997460423E-2</c:v>
                </c:pt>
                <c:pt idx="12">
                  <c:v>-3.6011000000144122E-2</c:v>
                </c:pt>
                <c:pt idx="13">
                  <c:v>-7.7058999995642807E-3</c:v>
                </c:pt>
                <c:pt idx="14">
                  <c:v>1.1412000021664426E-3</c:v>
                </c:pt>
                <c:pt idx="15">
                  <c:v>6.1122000042814761E-3</c:v>
                </c:pt>
                <c:pt idx="16">
                  <c:v>4.0636999983689748E-3</c:v>
                </c:pt>
                <c:pt idx="17">
                  <c:v>4.371899995021522E-3</c:v>
                </c:pt>
                <c:pt idx="18">
                  <c:v>2.2334199995384552E-2</c:v>
                </c:pt>
                <c:pt idx="19">
                  <c:v>1.651099999435246E-3</c:v>
                </c:pt>
                <c:pt idx="20">
                  <c:v>-7.8253000028780662E-3</c:v>
                </c:pt>
                <c:pt idx="21">
                  <c:v>-1.1607000000367407E-2</c:v>
                </c:pt>
                <c:pt idx="22">
                  <c:v>6.0181000008014962E-3</c:v>
                </c:pt>
                <c:pt idx="23">
                  <c:v>-3.9964000025065616E-3</c:v>
                </c:pt>
                <c:pt idx="24">
                  <c:v>6.4750000019557774E-3</c:v>
                </c:pt>
                <c:pt idx="25">
                  <c:v>-3.3908000041265041E-3</c:v>
                </c:pt>
                <c:pt idx="26">
                  <c:v>-7.6570000237552449E-4</c:v>
                </c:pt>
                <c:pt idx="27">
                  <c:v>-1.074009999865666E-2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CE-4D3D-9592-2F77F7E714D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3">
                    <c:v>0</c:v>
                  </c:pt>
                  <c:pt idx="28">
                    <c:v>2.0000000000000001E-4</c:v>
                  </c:pt>
                  <c:pt idx="30">
                    <c:v>1.1999999999999999E-3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3">
                    <c:v>0</c:v>
                  </c:pt>
                  <c:pt idx="28">
                    <c:v>2.0000000000000001E-4</c:v>
                  </c:pt>
                  <c:pt idx="30">
                    <c:v>1.1999999999999999E-3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-1049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</c:v>
                </c:pt>
                <c:pt idx="5">
                  <c:v>111</c:v>
                </c:pt>
                <c:pt idx="6">
                  <c:v>126</c:v>
                </c:pt>
                <c:pt idx="7">
                  <c:v>193</c:v>
                </c:pt>
                <c:pt idx="8">
                  <c:v>219</c:v>
                </c:pt>
                <c:pt idx="9">
                  <c:v>2037</c:v>
                </c:pt>
                <c:pt idx="10">
                  <c:v>2241</c:v>
                </c:pt>
                <c:pt idx="11">
                  <c:v>2542</c:v>
                </c:pt>
                <c:pt idx="12">
                  <c:v>2770</c:v>
                </c:pt>
                <c:pt idx="13">
                  <c:v>5213</c:v>
                </c:pt>
                <c:pt idx="14">
                  <c:v>5716</c:v>
                </c:pt>
                <c:pt idx="15">
                  <c:v>5746</c:v>
                </c:pt>
                <c:pt idx="16">
                  <c:v>6141</c:v>
                </c:pt>
                <c:pt idx="17">
                  <c:v>6167</c:v>
                </c:pt>
                <c:pt idx="18">
                  <c:v>6206</c:v>
                </c:pt>
                <c:pt idx="19">
                  <c:v>6223</c:v>
                </c:pt>
                <c:pt idx="20">
                  <c:v>6371</c:v>
                </c:pt>
                <c:pt idx="21">
                  <c:v>6490</c:v>
                </c:pt>
                <c:pt idx="22">
                  <c:v>6533</c:v>
                </c:pt>
                <c:pt idx="23">
                  <c:v>6548</c:v>
                </c:pt>
                <c:pt idx="24">
                  <c:v>6750</c:v>
                </c:pt>
                <c:pt idx="25">
                  <c:v>6956</c:v>
                </c:pt>
                <c:pt idx="26">
                  <c:v>6999</c:v>
                </c:pt>
                <c:pt idx="27">
                  <c:v>8007</c:v>
                </c:pt>
                <c:pt idx="28">
                  <c:v>18427</c:v>
                </c:pt>
                <c:pt idx="29">
                  <c:v>18468</c:v>
                </c:pt>
                <c:pt idx="30">
                  <c:v>19706</c:v>
                </c:pt>
                <c:pt idx="31">
                  <c:v>20471</c:v>
                </c:pt>
                <c:pt idx="32">
                  <c:v>20759</c:v>
                </c:pt>
                <c:pt idx="33">
                  <c:v>20759</c:v>
                </c:pt>
                <c:pt idx="34">
                  <c:v>20759</c:v>
                </c:pt>
                <c:pt idx="35">
                  <c:v>20961</c:v>
                </c:pt>
                <c:pt idx="36">
                  <c:v>21234</c:v>
                </c:pt>
                <c:pt idx="37">
                  <c:v>21234</c:v>
                </c:pt>
                <c:pt idx="38">
                  <c:v>21234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CE-4D3D-9592-2F77F7E714D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3">
                    <c:v>0</c:v>
                  </c:pt>
                  <c:pt idx="28">
                    <c:v>2.0000000000000001E-4</c:v>
                  </c:pt>
                  <c:pt idx="30">
                    <c:v>1.1999999999999999E-3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3">
                    <c:v>0</c:v>
                  </c:pt>
                  <c:pt idx="28">
                    <c:v>2.0000000000000001E-4</c:v>
                  </c:pt>
                  <c:pt idx="30">
                    <c:v>1.1999999999999999E-3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-1049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</c:v>
                </c:pt>
                <c:pt idx="5">
                  <c:v>111</c:v>
                </c:pt>
                <c:pt idx="6">
                  <c:v>126</c:v>
                </c:pt>
                <c:pt idx="7">
                  <c:v>193</c:v>
                </c:pt>
                <c:pt idx="8">
                  <c:v>219</c:v>
                </c:pt>
                <c:pt idx="9">
                  <c:v>2037</c:v>
                </c:pt>
                <c:pt idx="10">
                  <c:v>2241</c:v>
                </c:pt>
                <c:pt idx="11">
                  <c:v>2542</c:v>
                </c:pt>
                <c:pt idx="12">
                  <c:v>2770</c:v>
                </c:pt>
                <c:pt idx="13">
                  <c:v>5213</c:v>
                </c:pt>
                <c:pt idx="14">
                  <c:v>5716</c:v>
                </c:pt>
                <c:pt idx="15">
                  <c:v>5746</c:v>
                </c:pt>
                <c:pt idx="16">
                  <c:v>6141</c:v>
                </c:pt>
                <c:pt idx="17">
                  <c:v>6167</c:v>
                </c:pt>
                <c:pt idx="18">
                  <c:v>6206</c:v>
                </c:pt>
                <c:pt idx="19">
                  <c:v>6223</c:v>
                </c:pt>
                <c:pt idx="20">
                  <c:v>6371</c:v>
                </c:pt>
                <c:pt idx="21">
                  <c:v>6490</c:v>
                </c:pt>
                <c:pt idx="22">
                  <c:v>6533</c:v>
                </c:pt>
                <c:pt idx="23">
                  <c:v>6548</c:v>
                </c:pt>
                <c:pt idx="24">
                  <c:v>6750</c:v>
                </c:pt>
                <c:pt idx="25">
                  <c:v>6956</c:v>
                </c:pt>
                <c:pt idx="26">
                  <c:v>6999</c:v>
                </c:pt>
                <c:pt idx="27">
                  <c:v>8007</c:v>
                </c:pt>
                <c:pt idx="28">
                  <c:v>18427</c:v>
                </c:pt>
                <c:pt idx="29">
                  <c:v>18468</c:v>
                </c:pt>
                <c:pt idx="30">
                  <c:v>19706</c:v>
                </c:pt>
                <c:pt idx="31">
                  <c:v>20471</c:v>
                </c:pt>
                <c:pt idx="32">
                  <c:v>20759</c:v>
                </c:pt>
                <c:pt idx="33">
                  <c:v>20759</c:v>
                </c:pt>
                <c:pt idx="34">
                  <c:v>20759</c:v>
                </c:pt>
                <c:pt idx="35">
                  <c:v>20961</c:v>
                </c:pt>
                <c:pt idx="36">
                  <c:v>21234</c:v>
                </c:pt>
                <c:pt idx="37">
                  <c:v>21234</c:v>
                </c:pt>
                <c:pt idx="38">
                  <c:v>21234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28">
                  <c:v>-2.7446100000815932E-2</c:v>
                </c:pt>
                <c:pt idx="29">
                  <c:v>-2.4952400010079145E-2</c:v>
                </c:pt>
                <c:pt idx="30">
                  <c:v>-3.0015799995453563E-2</c:v>
                </c:pt>
                <c:pt idx="31">
                  <c:v>-3.0955300004279707E-2</c:v>
                </c:pt>
                <c:pt idx="32">
                  <c:v>-3.2283700005791616E-2</c:v>
                </c:pt>
                <c:pt idx="33">
                  <c:v>-3.2173700004932471E-2</c:v>
                </c:pt>
                <c:pt idx="34">
                  <c:v>-3.2113700006448198E-2</c:v>
                </c:pt>
                <c:pt idx="35">
                  <c:v>-3.2362300000386313E-2</c:v>
                </c:pt>
                <c:pt idx="36">
                  <c:v>-3.3336200001940597E-2</c:v>
                </c:pt>
                <c:pt idx="37">
                  <c:v>-3.2896200005779974E-2</c:v>
                </c:pt>
                <c:pt idx="38">
                  <c:v>-3.2416200003353879E-2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CE-4D3D-9592-2F77F7E714D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3">
                    <c:v>0</c:v>
                  </c:pt>
                  <c:pt idx="28">
                    <c:v>2.0000000000000001E-4</c:v>
                  </c:pt>
                  <c:pt idx="30">
                    <c:v>1.1999999999999999E-3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3">
                    <c:v>0</c:v>
                  </c:pt>
                  <c:pt idx="28">
                    <c:v>2.0000000000000001E-4</c:v>
                  </c:pt>
                  <c:pt idx="30">
                    <c:v>1.1999999999999999E-3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-1049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</c:v>
                </c:pt>
                <c:pt idx="5">
                  <c:v>111</c:v>
                </c:pt>
                <c:pt idx="6">
                  <c:v>126</c:v>
                </c:pt>
                <c:pt idx="7">
                  <c:v>193</c:v>
                </c:pt>
                <c:pt idx="8">
                  <c:v>219</c:v>
                </c:pt>
                <c:pt idx="9">
                  <c:v>2037</c:v>
                </c:pt>
                <c:pt idx="10">
                  <c:v>2241</c:v>
                </c:pt>
                <c:pt idx="11">
                  <c:v>2542</c:v>
                </c:pt>
                <c:pt idx="12">
                  <c:v>2770</c:v>
                </c:pt>
                <c:pt idx="13">
                  <c:v>5213</c:v>
                </c:pt>
                <c:pt idx="14">
                  <c:v>5716</c:v>
                </c:pt>
                <c:pt idx="15">
                  <c:v>5746</c:v>
                </c:pt>
                <c:pt idx="16">
                  <c:v>6141</c:v>
                </c:pt>
                <c:pt idx="17">
                  <c:v>6167</c:v>
                </c:pt>
                <c:pt idx="18">
                  <c:v>6206</c:v>
                </c:pt>
                <c:pt idx="19">
                  <c:v>6223</c:v>
                </c:pt>
                <c:pt idx="20">
                  <c:v>6371</c:v>
                </c:pt>
                <c:pt idx="21">
                  <c:v>6490</c:v>
                </c:pt>
                <c:pt idx="22">
                  <c:v>6533</c:v>
                </c:pt>
                <c:pt idx="23">
                  <c:v>6548</c:v>
                </c:pt>
                <c:pt idx="24">
                  <c:v>6750</c:v>
                </c:pt>
                <c:pt idx="25">
                  <c:v>6956</c:v>
                </c:pt>
                <c:pt idx="26">
                  <c:v>6999</c:v>
                </c:pt>
                <c:pt idx="27">
                  <c:v>8007</c:v>
                </c:pt>
                <c:pt idx="28">
                  <c:v>18427</c:v>
                </c:pt>
                <c:pt idx="29">
                  <c:v>18468</c:v>
                </c:pt>
                <c:pt idx="30">
                  <c:v>19706</c:v>
                </c:pt>
                <c:pt idx="31">
                  <c:v>20471</c:v>
                </c:pt>
                <c:pt idx="32">
                  <c:v>20759</c:v>
                </c:pt>
                <c:pt idx="33">
                  <c:v>20759</c:v>
                </c:pt>
                <c:pt idx="34">
                  <c:v>20759</c:v>
                </c:pt>
                <c:pt idx="35">
                  <c:v>20961</c:v>
                </c:pt>
                <c:pt idx="36">
                  <c:v>21234</c:v>
                </c:pt>
                <c:pt idx="37">
                  <c:v>21234</c:v>
                </c:pt>
                <c:pt idx="38">
                  <c:v>21234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CE-4D3D-9592-2F77F7E714D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3">
                    <c:v>0</c:v>
                  </c:pt>
                  <c:pt idx="28">
                    <c:v>2.0000000000000001E-4</c:v>
                  </c:pt>
                  <c:pt idx="30">
                    <c:v>1.1999999999999999E-3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3">
                    <c:v>0</c:v>
                  </c:pt>
                  <c:pt idx="28">
                    <c:v>2.0000000000000001E-4</c:v>
                  </c:pt>
                  <c:pt idx="30">
                    <c:v>1.1999999999999999E-3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-1049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</c:v>
                </c:pt>
                <c:pt idx="5">
                  <c:v>111</c:v>
                </c:pt>
                <c:pt idx="6">
                  <c:v>126</c:v>
                </c:pt>
                <c:pt idx="7">
                  <c:v>193</c:v>
                </c:pt>
                <c:pt idx="8">
                  <c:v>219</c:v>
                </c:pt>
                <c:pt idx="9">
                  <c:v>2037</c:v>
                </c:pt>
                <c:pt idx="10">
                  <c:v>2241</c:v>
                </c:pt>
                <c:pt idx="11">
                  <c:v>2542</c:v>
                </c:pt>
                <c:pt idx="12">
                  <c:v>2770</c:v>
                </c:pt>
                <c:pt idx="13">
                  <c:v>5213</c:v>
                </c:pt>
                <c:pt idx="14">
                  <c:v>5716</c:v>
                </c:pt>
                <c:pt idx="15">
                  <c:v>5746</c:v>
                </c:pt>
                <c:pt idx="16">
                  <c:v>6141</c:v>
                </c:pt>
                <c:pt idx="17">
                  <c:v>6167</c:v>
                </c:pt>
                <c:pt idx="18">
                  <c:v>6206</c:v>
                </c:pt>
                <c:pt idx="19">
                  <c:v>6223</c:v>
                </c:pt>
                <c:pt idx="20">
                  <c:v>6371</c:v>
                </c:pt>
                <c:pt idx="21">
                  <c:v>6490</c:v>
                </c:pt>
                <c:pt idx="22">
                  <c:v>6533</c:v>
                </c:pt>
                <c:pt idx="23">
                  <c:v>6548</c:v>
                </c:pt>
                <c:pt idx="24">
                  <c:v>6750</c:v>
                </c:pt>
                <c:pt idx="25">
                  <c:v>6956</c:v>
                </c:pt>
                <c:pt idx="26">
                  <c:v>6999</c:v>
                </c:pt>
                <c:pt idx="27">
                  <c:v>8007</c:v>
                </c:pt>
                <c:pt idx="28">
                  <c:v>18427</c:v>
                </c:pt>
                <c:pt idx="29">
                  <c:v>18468</c:v>
                </c:pt>
                <c:pt idx="30">
                  <c:v>19706</c:v>
                </c:pt>
                <c:pt idx="31">
                  <c:v>20471</c:v>
                </c:pt>
                <c:pt idx="32">
                  <c:v>20759</c:v>
                </c:pt>
                <c:pt idx="33">
                  <c:v>20759</c:v>
                </c:pt>
                <c:pt idx="34">
                  <c:v>20759</c:v>
                </c:pt>
                <c:pt idx="35">
                  <c:v>20961</c:v>
                </c:pt>
                <c:pt idx="36">
                  <c:v>21234</c:v>
                </c:pt>
                <c:pt idx="37">
                  <c:v>21234</c:v>
                </c:pt>
                <c:pt idx="38">
                  <c:v>21234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CE-4D3D-9592-2F77F7E714D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3">
                    <c:v>0</c:v>
                  </c:pt>
                  <c:pt idx="28">
                    <c:v>2.0000000000000001E-4</c:v>
                  </c:pt>
                  <c:pt idx="30">
                    <c:v>1.1999999999999999E-3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3">
                    <c:v>0</c:v>
                  </c:pt>
                  <c:pt idx="28">
                    <c:v>2.0000000000000001E-4</c:v>
                  </c:pt>
                  <c:pt idx="30">
                    <c:v>1.1999999999999999E-3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-1049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</c:v>
                </c:pt>
                <c:pt idx="5">
                  <c:v>111</c:v>
                </c:pt>
                <c:pt idx="6">
                  <c:v>126</c:v>
                </c:pt>
                <c:pt idx="7">
                  <c:v>193</c:v>
                </c:pt>
                <c:pt idx="8">
                  <c:v>219</c:v>
                </c:pt>
                <c:pt idx="9">
                  <c:v>2037</c:v>
                </c:pt>
                <c:pt idx="10">
                  <c:v>2241</c:v>
                </c:pt>
                <c:pt idx="11">
                  <c:v>2542</c:v>
                </c:pt>
                <c:pt idx="12">
                  <c:v>2770</c:v>
                </c:pt>
                <c:pt idx="13">
                  <c:v>5213</c:v>
                </c:pt>
                <c:pt idx="14">
                  <c:v>5716</c:v>
                </c:pt>
                <c:pt idx="15">
                  <c:v>5746</c:v>
                </c:pt>
                <c:pt idx="16">
                  <c:v>6141</c:v>
                </c:pt>
                <c:pt idx="17">
                  <c:v>6167</c:v>
                </c:pt>
                <c:pt idx="18">
                  <c:v>6206</c:v>
                </c:pt>
                <c:pt idx="19">
                  <c:v>6223</c:v>
                </c:pt>
                <c:pt idx="20">
                  <c:v>6371</c:v>
                </c:pt>
                <c:pt idx="21">
                  <c:v>6490</c:v>
                </c:pt>
                <c:pt idx="22">
                  <c:v>6533</c:v>
                </c:pt>
                <c:pt idx="23">
                  <c:v>6548</c:v>
                </c:pt>
                <c:pt idx="24">
                  <c:v>6750</c:v>
                </c:pt>
                <c:pt idx="25">
                  <c:v>6956</c:v>
                </c:pt>
                <c:pt idx="26">
                  <c:v>6999</c:v>
                </c:pt>
                <c:pt idx="27">
                  <c:v>8007</c:v>
                </c:pt>
                <c:pt idx="28">
                  <c:v>18427</c:v>
                </c:pt>
                <c:pt idx="29">
                  <c:v>18468</c:v>
                </c:pt>
                <c:pt idx="30">
                  <c:v>19706</c:v>
                </c:pt>
                <c:pt idx="31">
                  <c:v>20471</c:v>
                </c:pt>
                <c:pt idx="32">
                  <c:v>20759</c:v>
                </c:pt>
                <c:pt idx="33">
                  <c:v>20759</c:v>
                </c:pt>
                <c:pt idx="34">
                  <c:v>20759</c:v>
                </c:pt>
                <c:pt idx="35">
                  <c:v>20961</c:v>
                </c:pt>
                <c:pt idx="36">
                  <c:v>21234</c:v>
                </c:pt>
                <c:pt idx="37">
                  <c:v>21234</c:v>
                </c:pt>
                <c:pt idx="38">
                  <c:v>21234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CE-4D3D-9592-2F77F7E714D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-1049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</c:v>
                </c:pt>
                <c:pt idx="5">
                  <c:v>111</c:v>
                </c:pt>
                <c:pt idx="6">
                  <c:v>126</c:v>
                </c:pt>
                <c:pt idx="7">
                  <c:v>193</c:v>
                </c:pt>
                <c:pt idx="8">
                  <c:v>219</c:v>
                </c:pt>
                <c:pt idx="9">
                  <c:v>2037</c:v>
                </c:pt>
                <c:pt idx="10">
                  <c:v>2241</c:v>
                </c:pt>
                <c:pt idx="11">
                  <c:v>2542</c:v>
                </c:pt>
                <c:pt idx="12">
                  <c:v>2770</c:v>
                </c:pt>
                <c:pt idx="13">
                  <c:v>5213</c:v>
                </c:pt>
                <c:pt idx="14">
                  <c:v>5716</c:v>
                </c:pt>
                <c:pt idx="15">
                  <c:v>5746</c:v>
                </c:pt>
                <c:pt idx="16">
                  <c:v>6141</c:v>
                </c:pt>
                <c:pt idx="17">
                  <c:v>6167</c:v>
                </c:pt>
                <c:pt idx="18">
                  <c:v>6206</c:v>
                </c:pt>
                <c:pt idx="19">
                  <c:v>6223</c:v>
                </c:pt>
                <c:pt idx="20">
                  <c:v>6371</c:v>
                </c:pt>
                <c:pt idx="21">
                  <c:v>6490</c:v>
                </c:pt>
                <c:pt idx="22">
                  <c:v>6533</c:v>
                </c:pt>
                <c:pt idx="23">
                  <c:v>6548</c:v>
                </c:pt>
                <c:pt idx="24">
                  <c:v>6750</c:v>
                </c:pt>
                <c:pt idx="25">
                  <c:v>6956</c:v>
                </c:pt>
                <c:pt idx="26">
                  <c:v>6999</c:v>
                </c:pt>
                <c:pt idx="27">
                  <c:v>8007</c:v>
                </c:pt>
                <c:pt idx="28">
                  <c:v>18427</c:v>
                </c:pt>
                <c:pt idx="29">
                  <c:v>18468</c:v>
                </c:pt>
                <c:pt idx="30">
                  <c:v>19706</c:v>
                </c:pt>
                <c:pt idx="31">
                  <c:v>20471</c:v>
                </c:pt>
                <c:pt idx="32">
                  <c:v>20759</c:v>
                </c:pt>
                <c:pt idx="33">
                  <c:v>20759</c:v>
                </c:pt>
                <c:pt idx="34">
                  <c:v>20759</c:v>
                </c:pt>
                <c:pt idx="35">
                  <c:v>20961</c:v>
                </c:pt>
                <c:pt idx="36">
                  <c:v>21234</c:v>
                </c:pt>
                <c:pt idx="37">
                  <c:v>21234</c:v>
                </c:pt>
                <c:pt idx="38">
                  <c:v>21234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1.0699727908668986E-2</c:v>
                </c:pt>
                <c:pt idx="1">
                  <c:v>8.7360595606654698E-3</c:v>
                </c:pt>
                <c:pt idx="2">
                  <c:v>8.7360595606654698E-3</c:v>
                </c:pt>
                <c:pt idx="3">
                  <c:v>8.7360595606654698E-3</c:v>
                </c:pt>
                <c:pt idx="4">
                  <c:v>8.7042365273803796E-3</c:v>
                </c:pt>
                <c:pt idx="5">
                  <c:v>8.5282738727451742E-3</c:v>
                </c:pt>
                <c:pt idx="6">
                  <c:v>8.500194725728917E-3</c:v>
                </c:pt>
                <c:pt idx="7">
                  <c:v>8.3747745357229727E-3</c:v>
                </c:pt>
                <c:pt idx="8">
                  <c:v>8.3261040142281299E-3</c:v>
                </c:pt>
                <c:pt idx="9">
                  <c:v>4.9229113958578789E-3</c:v>
                </c:pt>
                <c:pt idx="10">
                  <c:v>4.5410349964367944E-3</c:v>
                </c:pt>
                <c:pt idx="11">
                  <c:v>3.9775801129772539E-3</c:v>
                </c:pt>
                <c:pt idx="12">
                  <c:v>3.5507770783301598E-3</c:v>
                </c:pt>
                <c:pt idx="13">
                  <c:v>-1.0223799990507661E-3</c:v>
                </c:pt>
                <c:pt idx="14">
                  <c:v>-1.963967395662557E-3</c:v>
                </c:pt>
                <c:pt idx="15">
                  <c:v>-2.0201256896950695E-3</c:v>
                </c:pt>
                <c:pt idx="16">
                  <c:v>-2.7595432277898145E-3</c:v>
                </c:pt>
                <c:pt idx="17">
                  <c:v>-2.808213749284659E-3</c:v>
                </c:pt>
                <c:pt idx="18">
                  <c:v>-2.8812195315269257E-3</c:v>
                </c:pt>
                <c:pt idx="19">
                  <c:v>-2.913042564812016E-3</c:v>
                </c:pt>
                <c:pt idx="20">
                  <c:v>-3.1900901487057435E-3</c:v>
                </c:pt>
                <c:pt idx="21">
                  <c:v>-3.4128513817013751E-3</c:v>
                </c:pt>
                <c:pt idx="22">
                  <c:v>-3.4933449364813098E-3</c:v>
                </c:pt>
                <c:pt idx="23">
                  <c:v>-3.5214240834975669E-3</c:v>
                </c:pt>
                <c:pt idx="24">
                  <c:v>-3.8995565966498166E-3</c:v>
                </c:pt>
                <c:pt idx="25">
                  <c:v>-4.2851768823397342E-3</c:v>
                </c:pt>
                <c:pt idx="26">
                  <c:v>-4.3656704371196689E-3</c:v>
                </c:pt>
                <c:pt idx="27">
                  <c:v>-6.2525891166120857E-3</c:v>
                </c:pt>
                <c:pt idx="28">
                  <c:v>-2.5758236577238053E-2</c:v>
                </c:pt>
                <c:pt idx="29">
                  <c:v>-2.5834986245749154E-2</c:v>
                </c:pt>
                <c:pt idx="30">
                  <c:v>-2.81524518461575E-2</c:v>
                </c:pt>
                <c:pt idx="31">
                  <c:v>-2.9584488343986561E-2</c:v>
                </c:pt>
                <c:pt idx="32">
                  <c:v>-3.0123607966698683E-2</c:v>
                </c:pt>
                <c:pt idx="33">
                  <c:v>-3.0123607966698683E-2</c:v>
                </c:pt>
                <c:pt idx="34">
                  <c:v>-3.0123607966698683E-2</c:v>
                </c:pt>
                <c:pt idx="35">
                  <c:v>-3.0501740479850929E-2</c:v>
                </c:pt>
                <c:pt idx="36">
                  <c:v>-3.1012780955546798E-2</c:v>
                </c:pt>
                <c:pt idx="37">
                  <c:v>-3.1012780955546798E-2</c:v>
                </c:pt>
                <c:pt idx="38">
                  <c:v>-3.1012780955546798E-2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CE-4D3D-9592-2F77F7E714D5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Active!$F$21:$F$996</c:f>
              <c:numCache>
                <c:formatCode>General</c:formatCode>
                <c:ptCount val="976"/>
                <c:pt idx="0">
                  <c:v>-1049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</c:v>
                </c:pt>
                <c:pt idx="5">
                  <c:v>111</c:v>
                </c:pt>
                <c:pt idx="6">
                  <c:v>126</c:v>
                </c:pt>
                <c:pt idx="7">
                  <c:v>193</c:v>
                </c:pt>
                <c:pt idx="8">
                  <c:v>219</c:v>
                </c:pt>
                <c:pt idx="9">
                  <c:v>2037</c:v>
                </c:pt>
                <c:pt idx="10">
                  <c:v>2241</c:v>
                </c:pt>
                <c:pt idx="11">
                  <c:v>2542</c:v>
                </c:pt>
                <c:pt idx="12">
                  <c:v>2770</c:v>
                </c:pt>
                <c:pt idx="13">
                  <c:v>5213</c:v>
                </c:pt>
                <c:pt idx="14">
                  <c:v>5716</c:v>
                </c:pt>
                <c:pt idx="15">
                  <c:v>5746</c:v>
                </c:pt>
                <c:pt idx="16">
                  <c:v>6141</c:v>
                </c:pt>
                <c:pt idx="17">
                  <c:v>6167</c:v>
                </c:pt>
                <c:pt idx="18">
                  <c:v>6206</c:v>
                </c:pt>
                <c:pt idx="19">
                  <c:v>6223</c:v>
                </c:pt>
                <c:pt idx="20">
                  <c:v>6371</c:v>
                </c:pt>
                <c:pt idx="21">
                  <c:v>6490</c:v>
                </c:pt>
                <c:pt idx="22">
                  <c:v>6533</c:v>
                </c:pt>
                <c:pt idx="23">
                  <c:v>6548</c:v>
                </c:pt>
                <c:pt idx="24">
                  <c:v>6750</c:v>
                </c:pt>
                <c:pt idx="25">
                  <c:v>6956</c:v>
                </c:pt>
                <c:pt idx="26">
                  <c:v>6999</c:v>
                </c:pt>
                <c:pt idx="27">
                  <c:v>8007</c:v>
                </c:pt>
                <c:pt idx="28">
                  <c:v>18427</c:v>
                </c:pt>
                <c:pt idx="29">
                  <c:v>18468</c:v>
                </c:pt>
                <c:pt idx="30">
                  <c:v>19706</c:v>
                </c:pt>
                <c:pt idx="31">
                  <c:v>20471</c:v>
                </c:pt>
                <c:pt idx="32">
                  <c:v>20759</c:v>
                </c:pt>
                <c:pt idx="33">
                  <c:v>20759</c:v>
                </c:pt>
                <c:pt idx="34">
                  <c:v>20759</c:v>
                </c:pt>
                <c:pt idx="35">
                  <c:v>20961</c:v>
                </c:pt>
                <c:pt idx="36">
                  <c:v>21234</c:v>
                </c:pt>
                <c:pt idx="37">
                  <c:v>21234</c:v>
                </c:pt>
                <c:pt idx="38">
                  <c:v>21234</c:v>
                </c:pt>
              </c:numCache>
            </c:numRef>
          </c:xVal>
          <c:yVal>
            <c:numRef>
              <c:f>Active!$P$21:$P$996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1B-456D-8046-116E82CBB925}"/>
            </c:ext>
          </c:extLst>
        </c:ser>
        <c:ser>
          <c:idx val="11"/>
          <c:order val="11"/>
          <c:tx>
            <c:strRef>
              <c:f>Active!$S$20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Active!$F$21:$F$996</c:f>
              <c:numCache>
                <c:formatCode>General</c:formatCode>
                <c:ptCount val="976"/>
                <c:pt idx="0">
                  <c:v>-1049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</c:v>
                </c:pt>
                <c:pt idx="5">
                  <c:v>111</c:v>
                </c:pt>
                <c:pt idx="6">
                  <c:v>126</c:v>
                </c:pt>
                <c:pt idx="7">
                  <c:v>193</c:v>
                </c:pt>
                <c:pt idx="8">
                  <c:v>219</c:v>
                </c:pt>
                <c:pt idx="9">
                  <c:v>2037</c:v>
                </c:pt>
                <c:pt idx="10">
                  <c:v>2241</c:v>
                </c:pt>
                <c:pt idx="11">
                  <c:v>2542</c:v>
                </c:pt>
                <c:pt idx="12">
                  <c:v>2770</c:v>
                </c:pt>
                <c:pt idx="13">
                  <c:v>5213</c:v>
                </c:pt>
                <c:pt idx="14">
                  <c:v>5716</c:v>
                </c:pt>
                <c:pt idx="15">
                  <c:v>5746</c:v>
                </c:pt>
                <c:pt idx="16">
                  <c:v>6141</c:v>
                </c:pt>
                <c:pt idx="17">
                  <c:v>6167</c:v>
                </c:pt>
                <c:pt idx="18">
                  <c:v>6206</c:v>
                </c:pt>
                <c:pt idx="19">
                  <c:v>6223</c:v>
                </c:pt>
                <c:pt idx="20">
                  <c:v>6371</c:v>
                </c:pt>
                <c:pt idx="21">
                  <c:v>6490</c:v>
                </c:pt>
                <c:pt idx="22">
                  <c:v>6533</c:v>
                </c:pt>
                <c:pt idx="23">
                  <c:v>6548</c:v>
                </c:pt>
                <c:pt idx="24">
                  <c:v>6750</c:v>
                </c:pt>
                <c:pt idx="25">
                  <c:v>6956</c:v>
                </c:pt>
                <c:pt idx="26">
                  <c:v>6999</c:v>
                </c:pt>
                <c:pt idx="27">
                  <c:v>8007</c:v>
                </c:pt>
                <c:pt idx="28">
                  <c:v>18427</c:v>
                </c:pt>
                <c:pt idx="29">
                  <c:v>18468</c:v>
                </c:pt>
                <c:pt idx="30">
                  <c:v>19706</c:v>
                </c:pt>
                <c:pt idx="31">
                  <c:v>20471</c:v>
                </c:pt>
                <c:pt idx="32">
                  <c:v>20759</c:v>
                </c:pt>
                <c:pt idx="33">
                  <c:v>20759</c:v>
                </c:pt>
                <c:pt idx="34">
                  <c:v>20759</c:v>
                </c:pt>
                <c:pt idx="35">
                  <c:v>20961</c:v>
                </c:pt>
                <c:pt idx="36">
                  <c:v>21234</c:v>
                </c:pt>
                <c:pt idx="37">
                  <c:v>21234</c:v>
                </c:pt>
                <c:pt idx="38">
                  <c:v>21234</c:v>
                </c:pt>
              </c:numCache>
            </c:numRef>
          </c:xVal>
          <c:yVal>
            <c:numRef>
              <c:f>Active!$S$21:$S$996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1B-456D-8046-116E82CBB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220016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Active!$F$21:$F$996</c15:sqref>
                        </c15:formulaRef>
                      </c:ext>
                    </c:extLst>
                    <c:numCache>
                      <c:formatCode>General</c:formatCode>
                      <c:ptCount val="976"/>
                      <c:pt idx="0">
                        <c:v>-1049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17</c:v>
                      </c:pt>
                      <c:pt idx="5">
                        <c:v>111</c:v>
                      </c:pt>
                      <c:pt idx="6">
                        <c:v>126</c:v>
                      </c:pt>
                      <c:pt idx="7">
                        <c:v>193</c:v>
                      </c:pt>
                      <c:pt idx="8">
                        <c:v>219</c:v>
                      </c:pt>
                      <c:pt idx="9">
                        <c:v>2037</c:v>
                      </c:pt>
                      <c:pt idx="10">
                        <c:v>2241</c:v>
                      </c:pt>
                      <c:pt idx="11">
                        <c:v>2542</c:v>
                      </c:pt>
                      <c:pt idx="12">
                        <c:v>2770</c:v>
                      </c:pt>
                      <c:pt idx="13">
                        <c:v>5213</c:v>
                      </c:pt>
                      <c:pt idx="14">
                        <c:v>5716</c:v>
                      </c:pt>
                      <c:pt idx="15">
                        <c:v>5746</c:v>
                      </c:pt>
                      <c:pt idx="16">
                        <c:v>6141</c:v>
                      </c:pt>
                      <c:pt idx="17">
                        <c:v>6167</c:v>
                      </c:pt>
                      <c:pt idx="18">
                        <c:v>6206</c:v>
                      </c:pt>
                      <c:pt idx="19">
                        <c:v>6223</c:v>
                      </c:pt>
                      <c:pt idx="20">
                        <c:v>6371</c:v>
                      </c:pt>
                      <c:pt idx="21">
                        <c:v>6490</c:v>
                      </c:pt>
                      <c:pt idx="22">
                        <c:v>6533</c:v>
                      </c:pt>
                      <c:pt idx="23">
                        <c:v>6548</c:v>
                      </c:pt>
                      <c:pt idx="24">
                        <c:v>6750</c:v>
                      </c:pt>
                      <c:pt idx="25">
                        <c:v>6956</c:v>
                      </c:pt>
                      <c:pt idx="26">
                        <c:v>6999</c:v>
                      </c:pt>
                      <c:pt idx="27">
                        <c:v>8007</c:v>
                      </c:pt>
                      <c:pt idx="28">
                        <c:v>18427</c:v>
                      </c:pt>
                      <c:pt idx="29">
                        <c:v>18468</c:v>
                      </c:pt>
                      <c:pt idx="30">
                        <c:v>19706</c:v>
                      </c:pt>
                      <c:pt idx="31">
                        <c:v>20471</c:v>
                      </c:pt>
                      <c:pt idx="32">
                        <c:v>20759</c:v>
                      </c:pt>
                      <c:pt idx="33">
                        <c:v>20759</c:v>
                      </c:pt>
                      <c:pt idx="34">
                        <c:v>20759</c:v>
                      </c:pt>
                      <c:pt idx="35">
                        <c:v>20961</c:v>
                      </c:pt>
                      <c:pt idx="36">
                        <c:v>21234</c:v>
                      </c:pt>
                      <c:pt idx="37">
                        <c:v>21234</c:v>
                      </c:pt>
                      <c:pt idx="38">
                        <c:v>21234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Active!$Q$21:$Q$996</c15:sqref>
                        </c15:formulaRef>
                      </c:ext>
                    </c:extLst>
                    <c:numCache>
                      <c:formatCode>m/d/yyyy</c:formatCode>
                      <c:ptCount val="976"/>
                      <c:pt idx="0">
                        <c:v>8593.8679999999986</c:v>
                      </c:pt>
                      <c:pt idx="1">
                        <c:v>10126.93</c:v>
                      </c:pt>
                      <c:pt idx="2">
                        <c:v>10126.956999999999</c:v>
                      </c:pt>
                      <c:pt idx="3">
                        <c:v>10126.967000000001</c:v>
                      </c:pt>
                      <c:pt idx="4">
                        <c:v>10151.817999999999</c:v>
                      </c:pt>
                      <c:pt idx="5">
                        <c:v>10289.182000000001</c:v>
                      </c:pt>
                      <c:pt idx="6">
                        <c:v>10311.116000000002</c:v>
                      </c:pt>
                      <c:pt idx="7">
                        <c:v>10408.984</c:v>
                      </c:pt>
                      <c:pt idx="8">
                        <c:v>10447.045999999998</c:v>
                      </c:pt>
                      <c:pt idx="9">
                        <c:v>13103.735000000001</c:v>
                      </c:pt>
                      <c:pt idx="10">
                        <c:v>13401.82</c:v>
                      </c:pt>
                      <c:pt idx="11">
                        <c:v>13841.715</c:v>
                      </c:pt>
                      <c:pt idx="12">
                        <c:v>14174.827000000001</c:v>
                      </c:pt>
                      <c:pt idx="13">
                        <c:v>17744.895</c:v>
                      </c:pt>
                      <c:pt idx="14">
                        <c:v>18479.955000000002</c:v>
                      </c:pt>
                      <c:pt idx="15">
                        <c:v>18523.800000000003</c:v>
                      </c:pt>
                      <c:pt idx="16">
                        <c:v>19101.025000000001</c:v>
                      </c:pt>
                      <c:pt idx="17">
                        <c:v>19139.019999999997</c:v>
                      </c:pt>
                      <c:pt idx="18">
                        <c:v>19196.03</c:v>
                      </c:pt>
                      <c:pt idx="19">
                        <c:v>19220.851999999999</c:v>
                      </c:pt>
                      <c:pt idx="20">
                        <c:v>19437.120000000003</c:v>
                      </c:pt>
                      <c:pt idx="21">
                        <c:v>19611.014999999999</c:v>
                      </c:pt>
                      <c:pt idx="22">
                        <c:v>19673.870000000003</c:v>
                      </c:pt>
                      <c:pt idx="23">
                        <c:v>19695.78</c:v>
                      </c:pt>
                      <c:pt idx="24">
                        <c:v>19990.980000000003</c:v>
                      </c:pt>
                      <c:pt idx="25">
                        <c:v>20292.004999999997</c:v>
                      </c:pt>
                      <c:pt idx="26">
                        <c:v>20354.845000000001</c:v>
                      </c:pt>
                      <c:pt idx="27">
                        <c:v>21827.86</c:v>
                      </c:pt>
                      <c:pt idx="28">
                        <c:v>37054.9467</c:v>
                      </c:pt>
                      <c:pt idx="29">
                        <c:v>37114.863899999997</c:v>
                      </c:pt>
                      <c:pt idx="30">
                        <c:v>38923.990700000002</c:v>
                      </c:pt>
                      <c:pt idx="31">
                        <c:v>40041.910499999998</c:v>
                      </c:pt>
                      <c:pt idx="32">
                        <c:v>40462.773450000001</c:v>
                      </c:pt>
                      <c:pt idx="33">
                        <c:v>40462.773560000001</c:v>
                      </c:pt>
                      <c:pt idx="34">
                        <c:v>40462.77362</c:v>
                      </c:pt>
                      <c:pt idx="35">
                        <c:v>40757.962899999999</c:v>
                      </c:pt>
                      <c:pt idx="36">
                        <c:v>41156.906190000002</c:v>
                      </c:pt>
                      <c:pt idx="37">
                        <c:v>41156.906629999998</c:v>
                      </c:pt>
                      <c:pt idx="38">
                        <c:v>41156.90711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B81B-456D-8046-116E82CBB925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Active!$F$21:$F$996</c15:sqref>
                        </c15:formulaRef>
                      </c:ext>
                    </c:extLst>
                    <c:numCache>
                      <c:formatCode>General</c:formatCode>
                      <c:ptCount val="976"/>
                      <c:pt idx="0">
                        <c:v>-1049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17</c:v>
                      </c:pt>
                      <c:pt idx="5">
                        <c:v>111</c:v>
                      </c:pt>
                      <c:pt idx="6">
                        <c:v>126</c:v>
                      </c:pt>
                      <c:pt idx="7">
                        <c:v>193</c:v>
                      </c:pt>
                      <c:pt idx="8">
                        <c:v>219</c:v>
                      </c:pt>
                      <c:pt idx="9">
                        <c:v>2037</c:v>
                      </c:pt>
                      <c:pt idx="10">
                        <c:v>2241</c:v>
                      </c:pt>
                      <c:pt idx="11">
                        <c:v>2542</c:v>
                      </c:pt>
                      <c:pt idx="12">
                        <c:v>2770</c:v>
                      </c:pt>
                      <c:pt idx="13">
                        <c:v>5213</c:v>
                      </c:pt>
                      <c:pt idx="14">
                        <c:v>5716</c:v>
                      </c:pt>
                      <c:pt idx="15">
                        <c:v>5746</c:v>
                      </c:pt>
                      <c:pt idx="16">
                        <c:v>6141</c:v>
                      </c:pt>
                      <c:pt idx="17">
                        <c:v>6167</c:v>
                      </c:pt>
                      <c:pt idx="18">
                        <c:v>6206</c:v>
                      </c:pt>
                      <c:pt idx="19">
                        <c:v>6223</c:v>
                      </c:pt>
                      <c:pt idx="20">
                        <c:v>6371</c:v>
                      </c:pt>
                      <c:pt idx="21">
                        <c:v>6490</c:v>
                      </c:pt>
                      <c:pt idx="22">
                        <c:v>6533</c:v>
                      </c:pt>
                      <c:pt idx="23">
                        <c:v>6548</c:v>
                      </c:pt>
                      <c:pt idx="24">
                        <c:v>6750</c:v>
                      </c:pt>
                      <c:pt idx="25">
                        <c:v>6956</c:v>
                      </c:pt>
                      <c:pt idx="26">
                        <c:v>6999</c:v>
                      </c:pt>
                      <c:pt idx="27">
                        <c:v>8007</c:v>
                      </c:pt>
                      <c:pt idx="28">
                        <c:v>18427</c:v>
                      </c:pt>
                      <c:pt idx="29">
                        <c:v>18468</c:v>
                      </c:pt>
                      <c:pt idx="30">
                        <c:v>19706</c:v>
                      </c:pt>
                      <c:pt idx="31">
                        <c:v>20471</c:v>
                      </c:pt>
                      <c:pt idx="32">
                        <c:v>20759</c:v>
                      </c:pt>
                      <c:pt idx="33">
                        <c:v>20759</c:v>
                      </c:pt>
                      <c:pt idx="34">
                        <c:v>20759</c:v>
                      </c:pt>
                      <c:pt idx="35">
                        <c:v>20961</c:v>
                      </c:pt>
                      <c:pt idx="36">
                        <c:v>21234</c:v>
                      </c:pt>
                      <c:pt idx="37">
                        <c:v>21234</c:v>
                      </c:pt>
                      <c:pt idx="38">
                        <c:v>21234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Active!$R$21:$R$996</c15:sqref>
                        </c15:formulaRef>
                      </c:ext>
                    </c:extLst>
                    <c:numCache>
                      <c:formatCode>General</c:formatCode>
                      <c:ptCount val="976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B81B-456D-8046-116E82CBB925}"/>
                  </c:ext>
                </c:extLst>
              </c15:ser>
            </c15:filteredScatterSeries>
          </c:ext>
        </c:extLst>
      </c:scatterChart>
      <c:valAx>
        <c:axId val="731220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1220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47512921950992"/>
          <c:y val="0.92073298764483702"/>
          <c:w val="0.82552484183482711"/>
          <c:h val="5.798055577809191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571500</xdr:colOff>
      <xdr:row>18</xdr:row>
      <xdr:rowOff>85724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BD62C8D-F5DA-2677-C75F-67301FD8E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212" TargetMode="External"/><Relationship Id="rId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183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137.pdf" TargetMode="External"/><Relationship Id="rId9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61"/>
  <sheetViews>
    <sheetView tabSelected="1" workbookViewId="0">
      <pane xSplit="14" ySplit="22" topLeftCell="O966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28515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31" customFormat="1" ht="20.25" x14ac:dyDescent="0.2">
      <c r="A1" s="55" t="s">
        <v>38</v>
      </c>
    </row>
    <row r="2" spans="1:6" s="31" customFormat="1" ht="12.95" customHeight="1" x14ac:dyDescent="0.2">
      <c r="A2" s="31" t="s">
        <v>24</v>
      </c>
      <c r="B2" s="31" t="s">
        <v>28</v>
      </c>
    </row>
    <row r="3" spans="1:6" s="31" customFormat="1" ht="12.95" customHeight="1" thickBot="1" x14ac:dyDescent="0.25"/>
    <row r="4" spans="1:6" s="31" customFormat="1" ht="12.95" customHeight="1" thickTop="1" thickBot="1" x14ac:dyDescent="0.25">
      <c r="A4" s="32" t="s">
        <v>0</v>
      </c>
      <c r="C4" s="33">
        <v>25145.467000000001</v>
      </c>
      <c r="D4" s="34">
        <v>1.4613343000000001</v>
      </c>
    </row>
    <row r="5" spans="1:6" s="31" customFormat="1" ht="12.95" customHeight="1" thickTop="1" x14ac:dyDescent="0.2">
      <c r="A5" s="35" t="s">
        <v>30</v>
      </c>
      <c r="C5" s="36">
        <v>-9.5</v>
      </c>
      <c r="D5" s="31" t="s">
        <v>31</v>
      </c>
    </row>
    <row r="6" spans="1:6" s="31" customFormat="1" ht="12.95" customHeight="1" x14ac:dyDescent="0.2">
      <c r="A6" s="32" t="s">
        <v>1</v>
      </c>
    </row>
    <row r="7" spans="1:6" s="31" customFormat="1" ht="12.95" customHeight="1" x14ac:dyDescent="0.2">
      <c r="A7" s="31" t="s">
        <v>2</v>
      </c>
      <c r="C7" s="31">
        <f>+C4</f>
        <v>25145.467000000001</v>
      </c>
      <c r="D7" s="31" t="s">
        <v>193</v>
      </c>
    </row>
    <row r="8" spans="1:6" s="31" customFormat="1" ht="12.95" customHeight="1" x14ac:dyDescent="0.2">
      <c r="A8" s="31" t="s">
        <v>3</v>
      </c>
      <c r="C8" s="31">
        <f>+D4</f>
        <v>1.4613343000000001</v>
      </c>
      <c r="D8" s="31" t="s">
        <v>193</v>
      </c>
    </row>
    <row r="9" spans="1:6" s="31" customFormat="1" ht="12.95" customHeight="1" x14ac:dyDescent="0.2">
      <c r="A9" s="37" t="s">
        <v>35</v>
      </c>
      <c r="B9" s="38">
        <v>22</v>
      </c>
      <c r="C9" s="39" t="str">
        <f>"F"&amp;B9</f>
        <v>F22</v>
      </c>
      <c r="D9" s="40" t="str">
        <f>"G"&amp;B9</f>
        <v>G22</v>
      </c>
    </row>
    <row r="10" spans="1:6" s="31" customFormat="1" ht="12.95" customHeight="1" thickBot="1" x14ac:dyDescent="0.25">
      <c r="C10" s="41" t="s">
        <v>20</v>
      </c>
      <c r="D10" s="41" t="s">
        <v>21</v>
      </c>
    </row>
    <row r="11" spans="1:6" s="31" customFormat="1" ht="12.95" customHeight="1" x14ac:dyDescent="0.2">
      <c r="A11" s="31" t="s">
        <v>16</v>
      </c>
      <c r="C11" s="40">
        <f ca="1">INTERCEPT(INDIRECT($D$9):G989,INDIRECT($C$9):F989)</f>
        <v>8.7360595606654698E-3</v>
      </c>
      <c r="D11" s="42"/>
    </row>
    <row r="12" spans="1:6" s="31" customFormat="1" ht="12.95" customHeight="1" x14ac:dyDescent="0.2">
      <c r="A12" s="31" t="s">
        <v>17</v>
      </c>
      <c r="C12" s="40">
        <f ca="1">SLOPE(INDIRECT($D$9):G989,INDIRECT($C$9):F989)</f>
        <v>-1.8719431344170795E-6</v>
      </c>
      <c r="D12" s="42"/>
      <c r="E12" s="56" t="s">
        <v>189</v>
      </c>
      <c r="F12" s="57" t="s">
        <v>192</v>
      </c>
    </row>
    <row r="13" spans="1:6" s="31" customFormat="1" ht="12.95" customHeight="1" x14ac:dyDescent="0.2">
      <c r="A13" s="31" t="s">
        <v>19</v>
      </c>
      <c r="C13" s="42" t="s">
        <v>14</v>
      </c>
      <c r="E13" s="58" t="s">
        <v>39</v>
      </c>
      <c r="F13" s="59">
        <v>1</v>
      </c>
    </row>
    <row r="14" spans="1:6" s="31" customFormat="1" ht="12.95" customHeight="1" x14ac:dyDescent="0.2">
      <c r="E14" s="58" t="s">
        <v>32</v>
      </c>
      <c r="F14" s="60">
        <f ca="1">NOW()+15018.5+$C$5/24</f>
        <v>60511.654004629629</v>
      </c>
    </row>
    <row r="15" spans="1:6" s="31" customFormat="1" ht="12.95" customHeight="1" x14ac:dyDescent="0.2">
      <c r="A15" s="43" t="s">
        <v>18</v>
      </c>
      <c r="C15" s="44">
        <f ca="1">(C7+C11)+(C8+C12)*INT(MAX(F21:F3530))</f>
        <v>56175.408513419046</v>
      </c>
      <c r="E15" s="58" t="s">
        <v>40</v>
      </c>
      <c r="F15" s="60">
        <f ca="1">ROUND(2*($F$14-$C$7)/$C$8,0)/2+$F$13</f>
        <v>24202.5</v>
      </c>
    </row>
    <row r="16" spans="1:6" s="31" customFormat="1" ht="12.95" customHeight="1" x14ac:dyDescent="0.2">
      <c r="A16" s="32" t="s">
        <v>4</v>
      </c>
      <c r="C16" s="46">
        <f ca="1">+C8+C12</f>
        <v>1.4613324280568656</v>
      </c>
      <c r="E16" s="58" t="s">
        <v>33</v>
      </c>
      <c r="F16" s="60">
        <f ca="1">ROUND(2*($F$14-$C$15)/$C$16,0)/2+$F$13</f>
        <v>2968.5</v>
      </c>
    </row>
    <row r="17" spans="1:19" s="31" customFormat="1" ht="12.95" customHeight="1" thickBot="1" x14ac:dyDescent="0.25">
      <c r="A17" s="45" t="s">
        <v>34</v>
      </c>
      <c r="C17" s="31">
        <f>COUNT(C21:C2188)</f>
        <v>39</v>
      </c>
      <c r="E17" s="58" t="s">
        <v>190</v>
      </c>
      <c r="F17" s="62">
        <f ca="1">+$C$15+$C$16*$F$16-15018.5-$C$5/24</f>
        <v>45495.269659439189</v>
      </c>
    </row>
    <row r="18" spans="1:19" s="31" customFormat="1" ht="12.95" customHeight="1" thickTop="1" thickBot="1" x14ac:dyDescent="0.25">
      <c r="A18" s="32" t="s">
        <v>5</v>
      </c>
      <c r="C18" s="33">
        <f ca="1">+C15</f>
        <v>56175.408513419046</v>
      </c>
      <c r="D18" s="34">
        <f ca="1">+C16</f>
        <v>1.4613324280568656</v>
      </c>
      <c r="E18" s="61" t="s">
        <v>191</v>
      </c>
      <c r="F18" s="63">
        <f ca="1">+($C$15+$C$16*$F$16)-($C$16/2)-15018.5-$C$5/24</f>
        <v>45494.538993225164</v>
      </c>
    </row>
    <row r="19" spans="1:19" s="31" customFormat="1" ht="12.95" customHeight="1" thickTop="1" x14ac:dyDescent="0.2">
      <c r="E19" s="45"/>
      <c r="F19" s="47"/>
    </row>
    <row r="20" spans="1:19" s="31" customFormat="1" ht="12.95" customHeight="1" thickBot="1" x14ac:dyDescent="0.25">
      <c r="A20" s="41" t="s">
        <v>6</v>
      </c>
      <c r="B20" s="41" t="s">
        <v>7</v>
      </c>
      <c r="C20" s="41" t="s">
        <v>8</v>
      </c>
      <c r="D20" s="41" t="s">
        <v>13</v>
      </c>
      <c r="E20" s="41" t="s">
        <v>9</v>
      </c>
      <c r="F20" s="41" t="s">
        <v>10</v>
      </c>
      <c r="G20" s="41" t="s">
        <v>11</v>
      </c>
      <c r="H20" s="48" t="s">
        <v>12</v>
      </c>
      <c r="I20" s="48" t="s">
        <v>54</v>
      </c>
      <c r="J20" s="48" t="s">
        <v>48</v>
      </c>
      <c r="K20" s="48" t="s">
        <v>46</v>
      </c>
      <c r="L20" s="48" t="s">
        <v>25</v>
      </c>
      <c r="M20" s="48" t="s">
        <v>26</v>
      </c>
      <c r="N20" s="48" t="s">
        <v>27</v>
      </c>
      <c r="O20" s="48" t="s">
        <v>23</v>
      </c>
      <c r="P20" s="49" t="s">
        <v>22</v>
      </c>
      <c r="Q20" s="41" t="s">
        <v>15</v>
      </c>
      <c r="R20" s="64"/>
      <c r="S20" s="65" t="s">
        <v>194</v>
      </c>
    </row>
    <row r="21" spans="1:19" s="31" customFormat="1" ht="12.95" customHeight="1" x14ac:dyDescent="0.2">
      <c r="A21" s="50" t="s">
        <v>61</v>
      </c>
      <c r="B21" s="51" t="s">
        <v>37</v>
      </c>
      <c r="C21" s="52">
        <v>23612.367999999999</v>
      </c>
      <c r="D21" s="53"/>
      <c r="E21" s="31">
        <f t="shared" ref="E21:E59" si="0">+(C21-C$7)/C$8</f>
        <v>-1049.1090231714959</v>
      </c>
      <c r="F21" s="31">
        <f t="shared" ref="F21:F59" si="1">ROUND(2*E21,0)/2</f>
        <v>-1049</v>
      </c>
      <c r="G21" s="31">
        <f t="shared" ref="G21:G59" si="2">+C21-(C$7+F21*C$8)</f>
        <v>-0.15931930000078864</v>
      </c>
      <c r="I21" s="31">
        <f>+G21</f>
        <v>-0.15931930000078864</v>
      </c>
      <c r="O21" s="31">
        <f t="shared" ref="O21:O59" ca="1" si="3">+C$11+C$12*$F21</f>
        <v>1.0699727908668986E-2</v>
      </c>
      <c r="Q21" s="54">
        <f t="shared" ref="Q21:Q59" si="4">+C21-15018.5</f>
        <v>8593.8679999999986</v>
      </c>
    </row>
    <row r="22" spans="1:19" s="31" customFormat="1" ht="12.95" customHeight="1" x14ac:dyDescent="0.2">
      <c r="A22" s="50" t="s">
        <v>66</v>
      </c>
      <c r="B22" s="51" t="s">
        <v>37</v>
      </c>
      <c r="C22" s="52">
        <v>25145.43</v>
      </c>
      <c r="D22" s="53"/>
      <c r="E22" s="31">
        <f t="shared" si="0"/>
        <v>-2.531932631723072E-2</v>
      </c>
      <c r="F22" s="31">
        <f t="shared" si="1"/>
        <v>0</v>
      </c>
      <c r="G22" s="31">
        <f t="shared" si="2"/>
        <v>-3.7000000000261934E-2</v>
      </c>
      <c r="I22" s="31">
        <f>+G22</f>
        <v>-3.7000000000261934E-2</v>
      </c>
      <c r="O22" s="31">
        <f t="shared" ca="1" si="3"/>
        <v>8.7360595606654698E-3</v>
      </c>
      <c r="Q22" s="54">
        <f t="shared" si="4"/>
        <v>10126.93</v>
      </c>
    </row>
    <row r="23" spans="1:19" s="31" customFormat="1" ht="12.95" customHeight="1" x14ac:dyDescent="0.2">
      <c r="A23" s="50" t="s">
        <v>61</v>
      </c>
      <c r="B23" s="51" t="s">
        <v>37</v>
      </c>
      <c r="C23" s="52">
        <v>25145.456999999999</v>
      </c>
      <c r="D23" s="53"/>
      <c r="E23" s="31">
        <f t="shared" si="0"/>
        <v>-6.8430611681647843E-3</v>
      </c>
      <c r="F23" s="31">
        <f t="shared" si="1"/>
        <v>0</v>
      </c>
      <c r="G23" s="31">
        <f t="shared" si="2"/>
        <v>-1.0000000002037268E-2</v>
      </c>
      <c r="I23" s="31">
        <f>+G23</f>
        <v>-1.0000000002037268E-2</v>
      </c>
      <c r="O23" s="31">
        <f t="shared" ca="1" si="3"/>
        <v>8.7360595606654698E-3</v>
      </c>
      <c r="Q23" s="54">
        <f t="shared" si="4"/>
        <v>10126.956999999999</v>
      </c>
    </row>
    <row r="24" spans="1:19" s="31" customFormat="1" ht="12.95" customHeight="1" x14ac:dyDescent="0.2">
      <c r="A24" s="31" t="s">
        <v>12</v>
      </c>
      <c r="C24" s="53">
        <f>+C7</f>
        <v>25145.467000000001</v>
      </c>
      <c r="D24" s="53" t="s">
        <v>14</v>
      </c>
      <c r="E24" s="31">
        <f t="shared" si="0"/>
        <v>0</v>
      </c>
      <c r="F24" s="31">
        <f t="shared" si="1"/>
        <v>0</v>
      </c>
      <c r="G24" s="31">
        <f t="shared" si="2"/>
        <v>0</v>
      </c>
      <c r="H24" s="31">
        <f>+G24</f>
        <v>0</v>
      </c>
      <c r="O24" s="31">
        <f t="shared" ca="1" si="3"/>
        <v>8.7360595606654698E-3</v>
      </c>
      <c r="Q24" s="54">
        <f t="shared" si="4"/>
        <v>10126.967000000001</v>
      </c>
    </row>
    <row r="25" spans="1:19" s="31" customFormat="1" ht="12.95" customHeight="1" x14ac:dyDescent="0.2">
      <c r="A25" s="50" t="s">
        <v>66</v>
      </c>
      <c r="B25" s="51" t="s">
        <v>37</v>
      </c>
      <c r="C25" s="52">
        <v>25170.317999999999</v>
      </c>
      <c r="D25" s="53"/>
      <c r="E25" s="31">
        <f t="shared" si="0"/>
        <v>17.005691305540935</v>
      </c>
      <c r="F25" s="31">
        <f t="shared" si="1"/>
        <v>17</v>
      </c>
      <c r="G25" s="31">
        <f t="shared" si="2"/>
        <v>8.3168999990448356E-3</v>
      </c>
      <c r="I25" s="31">
        <f t="shared" ref="I25:I48" si="5">+G25</f>
        <v>8.3168999990448356E-3</v>
      </c>
      <c r="O25" s="31">
        <f t="shared" ca="1" si="3"/>
        <v>8.7042365273803796E-3</v>
      </c>
      <c r="Q25" s="54">
        <f t="shared" si="4"/>
        <v>10151.817999999999</v>
      </c>
    </row>
    <row r="26" spans="1:19" s="31" customFormat="1" ht="12.95" customHeight="1" x14ac:dyDescent="0.2">
      <c r="A26" s="50" t="s">
        <v>66</v>
      </c>
      <c r="B26" s="51" t="s">
        <v>37</v>
      </c>
      <c r="C26" s="52">
        <v>25307.682000000001</v>
      </c>
      <c r="D26" s="53"/>
      <c r="E26" s="31">
        <f t="shared" si="0"/>
        <v>111.00471671677052</v>
      </c>
      <c r="F26" s="31">
        <f t="shared" si="1"/>
        <v>111</v>
      </c>
      <c r="G26" s="31">
        <f t="shared" si="2"/>
        <v>6.8926999992982019E-3</v>
      </c>
      <c r="I26" s="31">
        <f t="shared" si="5"/>
        <v>6.8926999992982019E-3</v>
      </c>
      <c r="O26" s="31">
        <f t="shared" ca="1" si="3"/>
        <v>8.5282738727451742E-3</v>
      </c>
      <c r="Q26" s="54">
        <f t="shared" si="4"/>
        <v>10289.182000000001</v>
      </c>
    </row>
    <row r="27" spans="1:19" x14ac:dyDescent="0.2">
      <c r="A27" s="28" t="s">
        <v>66</v>
      </c>
      <c r="B27" s="30" t="s">
        <v>37</v>
      </c>
      <c r="C27" s="29">
        <v>25329.616000000002</v>
      </c>
      <c r="D27" s="3"/>
      <c r="E27">
        <f t="shared" si="0"/>
        <v>126.01428707996605</v>
      </c>
      <c r="F27">
        <f t="shared" si="1"/>
        <v>126</v>
      </c>
      <c r="G27">
        <f t="shared" si="2"/>
        <v>2.0878200000879588E-2</v>
      </c>
      <c r="I27">
        <f t="shared" si="5"/>
        <v>2.0878200000879588E-2</v>
      </c>
      <c r="O27">
        <f t="shared" ca="1" si="3"/>
        <v>8.500194725728917E-3</v>
      </c>
      <c r="Q27" s="1">
        <f t="shared" si="4"/>
        <v>10311.116000000002</v>
      </c>
    </row>
    <row r="28" spans="1:19" x14ac:dyDescent="0.2">
      <c r="A28" s="28" t="s">
        <v>66</v>
      </c>
      <c r="B28" s="30" t="s">
        <v>37</v>
      </c>
      <c r="C28" s="29">
        <v>25427.484</v>
      </c>
      <c r="D28" s="3"/>
      <c r="E28">
        <f t="shared" si="0"/>
        <v>192.98595810691626</v>
      </c>
      <c r="F28">
        <f t="shared" si="1"/>
        <v>193</v>
      </c>
      <c r="G28">
        <f t="shared" si="2"/>
        <v>-2.0519900001090718E-2</v>
      </c>
      <c r="I28">
        <f t="shared" si="5"/>
        <v>-2.0519900001090718E-2</v>
      </c>
      <c r="O28">
        <f t="shared" ca="1" si="3"/>
        <v>8.3747745357229727E-3</v>
      </c>
      <c r="Q28" s="1">
        <f t="shared" si="4"/>
        <v>10408.984</v>
      </c>
    </row>
    <row r="29" spans="1:19" x14ac:dyDescent="0.2">
      <c r="A29" s="28" t="s">
        <v>66</v>
      </c>
      <c r="B29" s="30" t="s">
        <v>37</v>
      </c>
      <c r="C29" s="29">
        <v>25465.545999999998</v>
      </c>
      <c r="D29" s="3"/>
      <c r="E29">
        <f t="shared" si="0"/>
        <v>219.03201751987748</v>
      </c>
      <c r="F29">
        <f t="shared" si="1"/>
        <v>219</v>
      </c>
      <c r="G29">
        <f t="shared" si="2"/>
        <v>4.6788299998297589E-2</v>
      </c>
      <c r="I29">
        <f t="shared" si="5"/>
        <v>4.6788299998297589E-2</v>
      </c>
      <c r="O29">
        <f t="shared" ca="1" si="3"/>
        <v>8.3261040142281299E-3</v>
      </c>
      <c r="Q29" s="1">
        <f t="shared" si="4"/>
        <v>10447.045999999998</v>
      </c>
    </row>
    <row r="30" spans="1:19" x14ac:dyDescent="0.2">
      <c r="A30" s="28" t="s">
        <v>61</v>
      </c>
      <c r="B30" s="30" t="s">
        <v>37</v>
      </c>
      <c r="C30" s="29">
        <v>28122.235000000001</v>
      </c>
      <c r="D30" s="3"/>
      <c r="E30">
        <f t="shared" si="0"/>
        <v>2037.0205503285592</v>
      </c>
      <c r="F30">
        <f t="shared" si="1"/>
        <v>2037</v>
      </c>
      <c r="G30">
        <f t="shared" si="2"/>
        <v>3.0030900001293048E-2</v>
      </c>
      <c r="I30">
        <f t="shared" si="5"/>
        <v>3.0030900001293048E-2</v>
      </c>
      <c r="O30">
        <f t="shared" ca="1" si="3"/>
        <v>4.9229113958578789E-3</v>
      </c>
      <c r="Q30" s="1">
        <f t="shared" si="4"/>
        <v>13103.735000000001</v>
      </c>
    </row>
    <row r="31" spans="1:19" x14ac:dyDescent="0.2">
      <c r="A31" s="28" t="s">
        <v>61</v>
      </c>
      <c r="B31" s="30" t="s">
        <v>37</v>
      </c>
      <c r="C31" s="29">
        <v>28420.32</v>
      </c>
      <c r="D31" s="3"/>
      <c r="E31">
        <f t="shared" si="0"/>
        <v>2241.0019391182423</v>
      </c>
      <c r="F31">
        <f t="shared" si="1"/>
        <v>2241</v>
      </c>
      <c r="G31">
        <f t="shared" si="2"/>
        <v>2.8337000003375579E-3</v>
      </c>
      <c r="I31">
        <f t="shared" si="5"/>
        <v>2.8337000003375579E-3</v>
      </c>
      <c r="O31">
        <f t="shared" ca="1" si="3"/>
        <v>4.5410349964367944E-3</v>
      </c>
      <c r="Q31" s="1">
        <f t="shared" si="4"/>
        <v>13401.82</v>
      </c>
    </row>
    <row r="32" spans="1:19" x14ac:dyDescent="0.2">
      <c r="A32" s="28" t="s">
        <v>61</v>
      </c>
      <c r="B32" s="30" t="s">
        <v>37</v>
      </c>
      <c r="C32" s="29">
        <v>28860.215</v>
      </c>
      <c r="D32" s="3"/>
      <c r="E32">
        <f t="shared" si="0"/>
        <v>2542.0247783139007</v>
      </c>
      <c r="F32">
        <f t="shared" si="1"/>
        <v>2542</v>
      </c>
      <c r="G32">
        <f t="shared" si="2"/>
        <v>3.6209399997460423E-2</v>
      </c>
      <c r="I32">
        <f t="shared" si="5"/>
        <v>3.6209399997460423E-2</v>
      </c>
      <c r="O32">
        <f t="shared" ca="1" si="3"/>
        <v>3.9775801129772539E-3</v>
      </c>
      <c r="Q32" s="1">
        <f t="shared" si="4"/>
        <v>13841.715</v>
      </c>
    </row>
    <row r="33" spans="1:17" x14ac:dyDescent="0.2">
      <c r="A33" s="28" t="s">
        <v>61</v>
      </c>
      <c r="B33" s="30" t="s">
        <v>37</v>
      </c>
      <c r="C33" s="29">
        <v>29193.327000000001</v>
      </c>
      <c r="D33" s="3"/>
      <c r="E33">
        <f t="shared" si="0"/>
        <v>2769.9753574524325</v>
      </c>
      <c r="F33">
        <f t="shared" si="1"/>
        <v>2770</v>
      </c>
      <c r="G33">
        <f t="shared" si="2"/>
        <v>-3.6011000000144122E-2</v>
      </c>
      <c r="I33">
        <f t="shared" si="5"/>
        <v>-3.6011000000144122E-2</v>
      </c>
      <c r="O33">
        <f t="shared" ca="1" si="3"/>
        <v>3.5507770783301598E-3</v>
      </c>
      <c r="Q33" s="1">
        <f t="shared" si="4"/>
        <v>14174.827000000001</v>
      </c>
    </row>
    <row r="34" spans="1:17" x14ac:dyDescent="0.2">
      <c r="A34" s="28" t="s">
        <v>100</v>
      </c>
      <c r="B34" s="30" t="s">
        <v>37</v>
      </c>
      <c r="C34" s="29">
        <v>32763.395</v>
      </c>
      <c r="D34" s="3"/>
      <c r="E34">
        <f t="shared" si="0"/>
        <v>5212.9947268054948</v>
      </c>
      <c r="F34">
        <f t="shared" si="1"/>
        <v>5213</v>
      </c>
      <c r="G34">
        <f t="shared" si="2"/>
        <v>-7.7058999995642807E-3</v>
      </c>
      <c r="I34">
        <f t="shared" si="5"/>
        <v>-7.7058999995642807E-3</v>
      </c>
      <c r="O34">
        <f t="shared" ca="1" si="3"/>
        <v>-1.0223799990507661E-3</v>
      </c>
      <c r="Q34" s="1">
        <f t="shared" si="4"/>
        <v>17744.895</v>
      </c>
    </row>
    <row r="35" spans="1:17" x14ac:dyDescent="0.2">
      <c r="A35" s="28" t="s">
        <v>100</v>
      </c>
      <c r="B35" s="30" t="s">
        <v>37</v>
      </c>
      <c r="C35" s="29">
        <v>33498.455000000002</v>
      </c>
      <c r="D35" s="3"/>
      <c r="E35">
        <f t="shared" si="0"/>
        <v>5716.0007809301405</v>
      </c>
      <c r="F35">
        <f t="shared" si="1"/>
        <v>5716</v>
      </c>
      <c r="G35">
        <f t="shared" si="2"/>
        <v>1.1412000021664426E-3</v>
      </c>
      <c r="I35">
        <f t="shared" si="5"/>
        <v>1.1412000021664426E-3</v>
      </c>
      <c r="O35">
        <f t="shared" ca="1" si="3"/>
        <v>-1.963967395662557E-3</v>
      </c>
      <c r="Q35" s="1">
        <f t="shared" si="4"/>
        <v>18479.955000000002</v>
      </c>
    </row>
    <row r="36" spans="1:17" x14ac:dyDescent="0.2">
      <c r="A36" s="28" t="s">
        <v>100</v>
      </c>
      <c r="B36" s="30" t="s">
        <v>37</v>
      </c>
      <c r="C36" s="29">
        <v>33542.300000000003</v>
      </c>
      <c r="D36" s="3"/>
      <c r="E36">
        <f t="shared" si="0"/>
        <v>5746.0041826158476</v>
      </c>
      <c r="F36">
        <f t="shared" si="1"/>
        <v>5746</v>
      </c>
      <c r="G36">
        <f t="shared" si="2"/>
        <v>6.1122000042814761E-3</v>
      </c>
      <c r="I36">
        <f t="shared" si="5"/>
        <v>6.1122000042814761E-3</v>
      </c>
      <c r="O36">
        <f t="shared" ca="1" si="3"/>
        <v>-2.0201256896950695E-3</v>
      </c>
      <c r="Q36" s="1">
        <f t="shared" si="4"/>
        <v>18523.800000000003</v>
      </c>
    </row>
    <row r="37" spans="1:17" x14ac:dyDescent="0.2">
      <c r="A37" s="28" t="s">
        <v>100</v>
      </c>
      <c r="B37" s="30" t="s">
        <v>37</v>
      </c>
      <c r="C37" s="29">
        <v>34119.525000000001</v>
      </c>
      <c r="D37" s="3"/>
      <c r="E37">
        <f t="shared" si="0"/>
        <v>6141.002780814767</v>
      </c>
      <c r="F37">
        <f t="shared" si="1"/>
        <v>6141</v>
      </c>
      <c r="G37">
        <f t="shared" si="2"/>
        <v>4.0636999983689748E-3</v>
      </c>
      <c r="I37">
        <f t="shared" si="5"/>
        <v>4.0636999983689748E-3</v>
      </c>
      <c r="O37">
        <f t="shared" ca="1" si="3"/>
        <v>-2.7595432277898145E-3</v>
      </c>
      <c r="Q37" s="1">
        <f t="shared" si="4"/>
        <v>19101.025000000001</v>
      </c>
    </row>
    <row r="38" spans="1:17" x14ac:dyDescent="0.2">
      <c r="A38" s="28" t="s">
        <v>100</v>
      </c>
      <c r="B38" s="30" t="s">
        <v>37</v>
      </c>
      <c r="C38" s="29">
        <v>34157.519999999997</v>
      </c>
      <c r="D38" s="3"/>
      <c r="E38">
        <f t="shared" si="0"/>
        <v>6167.0029917179081</v>
      </c>
      <c r="F38">
        <f t="shared" si="1"/>
        <v>6167</v>
      </c>
      <c r="G38">
        <f t="shared" si="2"/>
        <v>4.371899995021522E-3</v>
      </c>
      <c r="I38">
        <f t="shared" si="5"/>
        <v>4.371899995021522E-3</v>
      </c>
      <c r="O38">
        <f t="shared" ca="1" si="3"/>
        <v>-2.808213749284659E-3</v>
      </c>
      <c r="Q38" s="1">
        <f t="shared" si="4"/>
        <v>19139.019999999997</v>
      </c>
    </row>
    <row r="39" spans="1:17" x14ac:dyDescent="0.2">
      <c r="A39" s="28" t="s">
        <v>100</v>
      </c>
      <c r="B39" s="30" t="s">
        <v>37</v>
      </c>
      <c r="C39" s="29">
        <v>34214.53</v>
      </c>
      <c r="D39" s="3"/>
      <c r="E39">
        <f t="shared" si="0"/>
        <v>6206.0152834296696</v>
      </c>
      <c r="F39">
        <f t="shared" si="1"/>
        <v>6206</v>
      </c>
      <c r="G39">
        <f t="shared" si="2"/>
        <v>2.2334199995384552E-2</v>
      </c>
      <c r="I39">
        <f t="shared" si="5"/>
        <v>2.2334199995384552E-2</v>
      </c>
      <c r="O39">
        <f t="shared" ca="1" si="3"/>
        <v>-2.8812195315269257E-3</v>
      </c>
      <c r="Q39" s="1">
        <f t="shared" si="4"/>
        <v>19196.03</v>
      </c>
    </row>
    <row r="40" spans="1:17" x14ac:dyDescent="0.2">
      <c r="A40" s="28" t="s">
        <v>100</v>
      </c>
      <c r="B40" s="30" t="s">
        <v>37</v>
      </c>
      <c r="C40" s="29">
        <v>34239.351999999999</v>
      </c>
      <c r="D40" s="3"/>
      <c r="E40">
        <f t="shared" si="0"/>
        <v>6223.0011298578274</v>
      </c>
      <c r="F40">
        <f t="shared" si="1"/>
        <v>6223</v>
      </c>
      <c r="G40">
        <f t="shared" si="2"/>
        <v>1.651099999435246E-3</v>
      </c>
      <c r="I40">
        <f t="shared" si="5"/>
        <v>1.651099999435246E-3</v>
      </c>
      <c r="O40">
        <f t="shared" ca="1" si="3"/>
        <v>-2.913042564812016E-3</v>
      </c>
      <c r="Q40" s="1">
        <f t="shared" si="4"/>
        <v>19220.851999999999</v>
      </c>
    </row>
    <row r="41" spans="1:17" x14ac:dyDescent="0.2">
      <c r="A41" s="28" t="s">
        <v>100</v>
      </c>
      <c r="B41" s="30" t="s">
        <v>37</v>
      </c>
      <c r="C41" s="29">
        <v>34455.620000000003</v>
      </c>
      <c r="D41" s="3"/>
      <c r="E41">
        <f t="shared" si="0"/>
        <v>6370.9946450993466</v>
      </c>
      <c r="F41">
        <f t="shared" si="1"/>
        <v>6371</v>
      </c>
      <c r="G41">
        <f t="shared" si="2"/>
        <v>-7.8253000028780662E-3</v>
      </c>
      <c r="I41">
        <f t="shared" si="5"/>
        <v>-7.8253000028780662E-3</v>
      </c>
      <c r="O41">
        <f t="shared" ca="1" si="3"/>
        <v>-3.1900901487057435E-3</v>
      </c>
      <c r="Q41" s="1">
        <f t="shared" si="4"/>
        <v>19437.120000000003</v>
      </c>
    </row>
    <row r="42" spans="1:17" x14ac:dyDescent="0.2">
      <c r="A42" s="28" t="s">
        <v>100</v>
      </c>
      <c r="B42" s="30" t="s">
        <v>37</v>
      </c>
      <c r="C42" s="29">
        <v>34629.514999999999</v>
      </c>
      <c r="D42" s="3"/>
      <c r="E42">
        <f t="shared" si="0"/>
        <v>6489.9920572589026</v>
      </c>
      <c r="F42">
        <f t="shared" si="1"/>
        <v>6490</v>
      </c>
      <c r="G42">
        <f t="shared" si="2"/>
        <v>-1.1607000000367407E-2</v>
      </c>
      <c r="I42">
        <f t="shared" si="5"/>
        <v>-1.1607000000367407E-2</v>
      </c>
      <c r="O42">
        <f t="shared" ca="1" si="3"/>
        <v>-3.4128513817013751E-3</v>
      </c>
      <c r="Q42" s="1">
        <f t="shared" si="4"/>
        <v>19611.014999999999</v>
      </c>
    </row>
    <row r="43" spans="1:17" x14ac:dyDescent="0.2">
      <c r="A43" s="28" t="s">
        <v>100</v>
      </c>
      <c r="B43" s="30" t="s">
        <v>37</v>
      </c>
      <c r="C43" s="29">
        <v>34692.370000000003</v>
      </c>
      <c r="D43" s="3"/>
      <c r="E43">
        <f t="shared" si="0"/>
        <v>6533.0041182226414</v>
      </c>
      <c r="F43">
        <f t="shared" si="1"/>
        <v>6533</v>
      </c>
      <c r="G43">
        <f t="shared" si="2"/>
        <v>6.0181000008014962E-3</v>
      </c>
      <c r="I43">
        <f t="shared" si="5"/>
        <v>6.0181000008014962E-3</v>
      </c>
      <c r="O43">
        <f t="shared" ca="1" si="3"/>
        <v>-3.4933449364813098E-3</v>
      </c>
      <c r="Q43" s="1">
        <f t="shared" si="4"/>
        <v>19673.870000000003</v>
      </c>
    </row>
    <row r="44" spans="1:17" x14ac:dyDescent="0.2">
      <c r="A44" s="28" t="s">
        <v>100</v>
      </c>
      <c r="B44" s="30" t="s">
        <v>37</v>
      </c>
      <c r="C44" s="29">
        <v>34714.28</v>
      </c>
      <c r="D44" s="3"/>
      <c r="E44">
        <f t="shared" si="0"/>
        <v>6547.9972652390334</v>
      </c>
      <c r="F44">
        <f t="shared" si="1"/>
        <v>6548</v>
      </c>
      <c r="G44">
        <f t="shared" si="2"/>
        <v>-3.9964000025065616E-3</v>
      </c>
      <c r="I44">
        <f t="shared" si="5"/>
        <v>-3.9964000025065616E-3</v>
      </c>
      <c r="O44">
        <f t="shared" ca="1" si="3"/>
        <v>-3.5214240834975669E-3</v>
      </c>
      <c r="Q44" s="1">
        <f t="shared" si="4"/>
        <v>19695.78</v>
      </c>
    </row>
    <row r="45" spans="1:17" x14ac:dyDescent="0.2">
      <c r="A45" s="28" t="s">
        <v>100</v>
      </c>
      <c r="B45" s="30" t="s">
        <v>37</v>
      </c>
      <c r="C45" s="29">
        <v>35009.480000000003</v>
      </c>
      <c r="D45" s="3"/>
      <c r="E45">
        <f t="shared" si="0"/>
        <v>6750.004430882107</v>
      </c>
      <c r="F45">
        <f t="shared" si="1"/>
        <v>6750</v>
      </c>
      <c r="G45">
        <f t="shared" si="2"/>
        <v>6.4750000019557774E-3</v>
      </c>
      <c r="I45">
        <f t="shared" si="5"/>
        <v>6.4750000019557774E-3</v>
      </c>
      <c r="O45">
        <f t="shared" ca="1" si="3"/>
        <v>-3.8995565966498166E-3</v>
      </c>
      <c r="Q45" s="1">
        <f t="shared" si="4"/>
        <v>19990.980000000003</v>
      </c>
    </row>
    <row r="46" spans="1:17" x14ac:dyDescent="0.2">
      <c r="A46" s="28" t="s">
        <v>100</v>
      </c>
      <c r="B46" s="30" t="s">
        <v>37</v>
      </c>
      <c r="C46" s="29">
        <v>35310.504999999997</v>
      </c>
      <c r="D46" s="3"/>
      <c r="E46">
        <f t="shared" si="0"/>
        <v>6955.9976796548171</v>
      </c>
      <c r="F46">
        <f t="shared" si="1"/>
        <v>6956</v>
      </c>
      <c r="G46">
        <f t="shared" si="2"/>
        <v>-3.3908000041265041E-3</v>
      </c>
      <c r="I46">
        <f t="shared" si="5"/>
        <v>-3.3908000041265041E-3</v>
      </c>
      <c r="O46">
        <f t="shared" ca="1" si="3"/>
        <v>-4.2851768823397342E-3</v>
      </c>
      <c r="Q46" s="1">
        <f t="shared" si="4"/>
        <v>20292.004999999997</v>
      </c>
    </row>
    <row r="47" spans="1:17" x14ac:dyDescent="0.2">
      <c r="A47" s="28" t="s">
        <v>100</v>
      </c>
      <c r="B47" s="30" t="s">
        <v>37</v>
      </c>
      <c r="C47" s="29">
        <v>35373.345000000001</v>
      </c>
      <c r="D47" s="3"/>
      <c r="E47">
        <f t="shared" si="0"/>
        <v>6998.9994760268064</v>
      </c>
      <c r="F47">
        <f t="shared" si="1"/>
        <v>6999</v>
      </c>
      <c r="G47">
        <f t="shared" si="2"/>
        <v>-7.6570000237552449E-4</v>
      </c>
      <c r="I47">
        <f t="shared" si="5"/>
        <v>-7.6570000237552449E-4</v>
      </c>
      <c r="O47">
        <f t="shared" ca="1" si="3"/>
        <v>-4.3656704371196689E-3</v>
      </c>
      <c r="Q47" s="1">
        <f t="shared" si="4"/>
        <v>20354.845000000001</v>
      </c>
    </row>
    <row r="48" spans="1:17" x14ac:dyDescent="0.2">
      <c r="A48" s="28" t="s">
        <v>100</v>
      </c>
      <c r="B48" s="30" t="s">
        <v>37</v>
      </c>
      <c r="C48" s="29">
        <v>36846.36</v>
      </c>
      <c r="D48" s="3"/>
      <c r="E48">
        <f t="shared" si="0"/>
        <v>8006.9926504838759</v>
      </c>
      <c r="F48">
        <f t="shared" si="1"/>
        <v>8007</v>
      </c>
      <c r="G48">
        <f t="shared" si="2"/>
        <v>-1.074009999865666E-2</v>
      </c>
      <c r="I48">
        <f t="shared" si="5"/>
        <v>-1.074009999865666E-2</v>
      </c>
      <c r="O48">
        <f t="shared" ca="1" si="3"/>
        <v>-6.2525891166120857E-3</v>
      </c>
      <c r="Q48" s="1">
        <f t="shared" si="4"/>
        <v>21827.86</v>
      </c>
    </row>
    <row r="49" spans="1:17" x14ac:dyDescent="0.2">
      <c r="A49" s="2" t="s">
        <v>29</v>
      </c>
      <c r="B49" s="10"/>
      <c r="C49" s="6">
        <v>52073.4467</v>
      </c>
      <c r="D49" s="6">
        <v>2.0000000000000001E-4</v>
      </c>
      <c r="E49">
        <f t="shared" si="0"/>
        <v>18426.981218465891</v>
      </c>
      <c r="F49">
        <f t="shared" si="1"/>
        <v>18427</v>
      </c>
      <c r="G49">
        <f t="shared" si="2"/>
        <v>-2.7446100000815932E-2</v>
      </c>
      <c r="K49">
        <f t="shared" ref="K49:K59" si="6">+G49</f>
        <v>-2.7446100000815932E-2</v>
      </c>
      <c r="O49">
        <f t="shared" ca="1" si="3"/>
        <v>-2.5758236577238053E-2</v>
      </c>
      <c r="Q49" s="1">
        <f t="shared" si="4"/>
        <v>37054.9467</v>
      </c>
    </row>
    <row r="50" spans="1:17" x14ac:dyDescent="0.2">
      <c r="A50" s="28" t="s">
        <v>150</v>
      </c>
      <c r="B50" s="30" t="s">
        <v>37</v>
      </c>
      <c r="C50" s="29">
        <v>52133.363899999997</v>
      </c>
      <c r="D50" s="3"/>
      <c r="E50">
        <f t="shared" si="0"/>
        <v>18467.982924920052</v>
      </c>
      <c r="F50">
        <f t="shared" si="1"/>
        <v>18468</v>
      </c>
      <c r="G50">
        <f t="shared" si="2"/>
        <v>-2.4952400010079145E-2</v>
      </c>
      <c r="K50">
        <f t="shared" si="6"/>
        <v>-2.4952400010079145E-2</v>
      </c>
      <c r="O50">
        <f t="shared" ca="1" si="3"/>
        <v>-2.5834986245749154E-2</v>
      </c>
      <c r="Q50" s="1">
        <f t="shared" si="4"/>
        <v>37114.863899999997</v>
      </c>
    </row>
    <row r="51" spans="1:17" x14ac:dyDescent="0.2">
      <c r="A51" s="6" t="s">
        <v>36</v>
      </c>
      <c r="B51" s="11" t="s">
        <v>37</v>
      </c>
      <c r="C51" s="6">
        <v>53942.490700000002</v>
      </c>
      <c r="D51" s="6">
        <v>1.1999999999999999E-3</v>
      </c>
      <c r="E51">
        <f t="shared" si="0"/>
        <v>19705.979460004462</v>
      </c>
      <c r="F51">
        <f t="shared" si="1"/>
        <v>19706</v>
      </c>
      <c r="G51">
        <f t="shared" si="2"/>
        <v>-3.0015799995453563E-2</v>
      </c>
      <c r="K51">
        <f t="shared" si="6"/>
        <v>-3.0015799995453563E-2</v>
      </c>
      <c r="O51">
        <f t="shared" ca="1" si="3"/>
        <v>-2.81524518461575E-2</v>
      </c>
      <c r="Q51" s="1">
        <f t="shared" si="4"/>
        <v>38923.990700000002</v>
      </c>
    </row>
    <row r="52" spans="1:17" x14ac:dyDescent="0.2">
      <c r="A52" s="28" t="s">
        <v>162</v>
      </c>
      <c r="B52" s="30" t="s">
        <v>37</v>
      </c>
      <c r="C52" s="29">
        <v>55060.410499999998</v>
      </c>
      <c r="D52" s="3"/>
      <c r="E52">
        <f t="shared" si="0"/>
        <v>20470.978817098865</v>
      </c>
      <c r="F52">
        <f t="shared" si="1"/>
        <v>20471</v>
      </c>
      <c r="G52">
        <f t="shared" si="2"/>
        <v>-3.0955300004279707E-2</v>
      </c>
      <c r="K52">
        <f t="shared" si="6"/>
        <v>-3.0955300004279707E-2</v>
      </c>
      <c r="O52">
        <f t="shared" ca="1" si="3"/>
        <v>-2.9584488343986561E-2</v>
      </c>
      <c r="Q52" s="1">
        <f t="shared" si="4"/>
        <v>40041.910499999998</v>
      </c>
    </row>
    <row r="53" spans="1:17" x14ac:dyDescent="0.2">
      <c r="A53" s="12" t="s">
        <v>41</v>
      </c>
      <c r="B53" s="13" t="s">
        <v>37</v>
      </c>
      <c r="C53" s="6">
        <v>55481.273450000001</v>
      </c>
      <c r="D53" s="6">
        <v>2.0000000000000001E-4</v>
      </c>
      <c r="E53">
        <f t="shared" si="0"/>
        <v>20758.977908066619</v>
      </c>
      <c r="F53">
        <f t="shared" si="1"/>
        <v>20759</v>
      </c>
      <c r="G53">
        <f t="shared" si="2"/>
        <v>-3.2283700005791616E-2</v>
      </c>
      <c r="K53">
        <f t="shared" si="6"/>
        <v>-3.2283700005791616E-2</v>
      </c>
      <c r="O53">
        <f t="shared" ca="1" si="3"/>
        <v>-3.0123607966698683E-2</v>
      </c>
      <c r="Q53" s="1">
        <f t="shared" si="4"/>
        <v>40462.773450000001</v>
      </c>
    </row>
    <row r="54" spans="1:17" x14ac:dyDescent="0.2">
      <c r="A54" s="12" t="s">
        <v>41</v>
      </c>
      <c r="B54" s="13" t="s">
        <v>37</v>
      </c>
      <c r="C54" s="6">
        <v>55481.273560000001</v>
      </c>
      <c r="D54" s="6">
        <v>2.0000000000000001E-4</v>
      </c>
      <c r="E54">
        <f t="shared" si="0"/>
        <v>20758.977983340294</v>
      </c>
      <c r="F54">
        <f t="shared" si="1"/>
        <v>20759</v>
      </c>
      <c r="G54">
        <f t="shared" si="2"/>
        <v>-3.2173700004932471E-2</v>
      </c>
      <c r="K54">
        <f t="shared" si="6"/>
        <v>-3.2173700004932471E-2</v>
      </c>
      <c r="O54">
        <f t="shared" ca="1" si="3"/>
        <v>-3.0123607966698683E-2</v>
      </c>
      <c r="Q54" s="1">
        <f t="shared" si="4"/>
        <v>40462.773560000001</v>
      </c>
    </row>
    <row r="55" spans="1:17" x14ac:dyDescent="0.2">
      <c r="A55" s="12" t="s">
        <v>41</v>
      </c>
      <c r="B55" s="13" t="s">
        <v>37</v>
      </c>
      <c r="C55" s="6">
        <v>55481.27362</v>
      </c>
      <c r="D55" s="6">
        <v>1E-4</v>
      </c>
      <c r="E55">
        <f t="shared" si="0"/>
        <v>20758.978024398661</v>
      </c>
      <c r="F55">
        <f t="shared" si="1"/>
        <v>20759</v>
      </c>
      <c r="G55">
        <f t="shared" si="2"/>
        <v>-3.2113700006448198E-2</v>
      </c>
      <c r="K55">
        <f t="shared" si="6"/>
        <v>-3.2113700006448198E-2</v>
      </c>
      <c r="O55">
        <f t="shared" ca="1" si="3"/>
        <v>-3.0123607966698683E-2</v>
      </c>
      <c r="Q55" s="1">
        <f t="shared" si="4"/>
        <v>40462.77362</v>
      </c>
    </row>
    <row r="56" spans="1:17" x14ac:dyDescent="0.2">
      <c r="A56" s="2" t="s">
        <v>42</v>
      </c>
      <c r="B56" s="14" t="s">
        <v>37</v>
      </c>
      <c r="C56" s="2">
        <v>55776.462899999999</v>
      </c>
      <c r="D56" s="2">
        <v>6.9999999999999999E-4</v>
      </c>
      <c r="E56">
        <f t="shared" si="0"/>
        <v>20960.977854280158</v>
      </c>
      <c r="F56">
        <f t="shared" si="1"/>
        <v>20961</v>
      </c>
      <c r="G56">
        <f t="shared" si="2"/>
        <v>-3.2362300000386313E-2</v>
      </c>
      <c r="K56">
        <f t="shared" si="6"/>
        <v>-3.2362300000386313E-2</v>
      </c>
      <c r="O56">
        <f t="shared" ca="1" si="3"/>
        <v>-3.0501740479850929E-2</v>
      </c>
      <c r="Q56" s="1">
        <f t="shared" si="4"/>
        <v>40757.962899999999</v>
      </c>
    </row>
    <row r="57" spans="1:17" x14ac:dyDescent="0.2">
      <c r="A57" s="7" t="s">
        <v>43</v>
      </c>
      <c r="B57" s="8" t="s">
        <v>37</v>
      </c>
      <c r="C57" s="9">
        <v>56175.406190000002</v>
      </c>
      <c r="D57" s="9">
        <v>5.0000000000000001E-4</v>
      </c>
      <c r="E57">
        <f t="shared" si="0"/>
        <v>21233.977187834433</v>
      </c>
      <c r="F57">
        <f t="shared" si="1"/>
        <v>21234</v>
      </c>
      <c r="G57">
        <f t="shared" si="2"/>
        <v>-3.3336200001940597E-2</v>
      </c>
      <c r="K57">
        <f t="shared" si="6"/>
        <v>-3.3336200001940597E-2</v>
      </c>
      <c r="O57">
        <f t="shared" ca="1" si="3"/>
        <v>-3.1012780955546798E-2</v>
      </c>
      <c r="Q57" s="1">
        <f t="shared" si="4"/>
        <v>41156.906190000002</v>
      </c>
    </row>
    <row r="58" spans="1:17" x14ac:dyDescent="0.2">
      <c r="A58" s="7" t="s">
        <v>43</v>
      </c>
      <c r="B58" s="8" t="s">
        <v>37</v>
      </c>
      <c r="C58" s="9">
        <v>56175.406629999998</v>
      </c>
      <c r="D58" s="9">
        <v>2.9999999999999997E-4</v>
      </c>
      <c r="E58">
        <f t="shared" si="0"/>
        <v>21233.977488929122</v>
      </c>
      <c r="F58">
        <f t="shared" si="1"/>
        <v>21234</v>
      </c>
      <c r="G58">
        <f t="shared" si="2"/>
        <v>-3.2896200005779974E-2</v>
      </c>
      <c r="K58">
        <f t="shared" si="6"/>
        <v>-3.2896200005779974E-2</v>
      </c>
      <c r="O58">
        <f t="shared" ca="1" si="3"/>
        <v>-3.1012780955546798E-2</v>
      </c>
      <c r="Q58" s="1">
        <f t="shared" si="4"/>
        <v>41156.906629999998</v>
      </c>
    </row>
    <row r="59" spans="1:17" x14ac:dyDescent="0.2">
      <c r="A59" s="7" t="s">
        <v>43</v>
      </c>
      <c r="B59" s="8" t="s">
        <v>37</v>
      </c>
      <c r="C59" s="9">
        <v>56175.40711</v>
      </c>
      <c r="D59" s="9">
        <v>2.9999999999999997E-4</v>
      </c>
      <c r="E59">
        <f t="shared" si="0"/>
        <v>21233.977817396059</v>
      </c>
      <c r="F59">
        <f t="shared" si="1"/>
        <v>21234</v>
      </c>
      <c r="G59">
        <f t="shared" si="2"/>
        <v>-3.2416200003353879E-2</v>
      </c>
      <c r="K59">
        <f t="shared" si="6"/>
        <v>-3.2416200003353879E-2</v>
      </c>
      <c r="O59">
        <f t="shared" ca="1" si="3"/>
        <v>-3.1012780955546798E-2</v>
      </c>
      <c r="Q59" s="1">
        <f t="shared" si="4"/>
        <v>41156.90711</v>
      </c>
    </row>
    <row r="60" spans="1:17" x14ac:dyDescent="0.2">
      <c r="B60" s="5"/>
      <c r="C60" s="3"/>
      <c r="D60" s="3"/>
    </row>
    <row r="61" spans="1:17" x14ac:dyDescent="0.2">
      <c r="B61" s="5"/>
      <c r="C61" s="3"/>
      <c r="D61" s="3"/>
    </row>
    <row r="62" spans="1:17" x14ac:dyDescent="0.2">
      <c r="B62" s="5"/>
      <c r="C62" s="3"/>
      <c r="D62" s="3"/>
    </row>
    <row r="63" spans="1:17" x14ac:dyDescent="0.2">
      <c r="B63" s="5"/>
      <c r="C63" s="3"/>
      <c r="D63" s="3"/>
    </row>
    <row r="64" spans="1:17" x14ac:dyDescent="0.2">
      <c r="B64" s="5"/>
      <c r="C64" s="3"/>
      <c r="D64" s="3"/>
    </row>
    <row r="65" spans="2:4" x14ac:dyDescent="0.2">
      <c r="B65" s="5"/>
      <c r="C65" s="3"/>
      <c r="D65" s="3"/>
    </row>
    <row r="66" spans="2:4" x14ac:dyDescent="0.2">
      <c r="B66" s="5"/>
      <c r="C66" s="3"/>
      <c r="D66" s="3"/>
    </row>
    <row r="67" spans="2:4" x14ac:dyDescent="0.2">
      <c r="B67" s="5"/>
      <c r="C67" s="3"/>
      <c r="D67" s="3"/>
    </row>
    <row r="68" spans="2:4" x14ac:dyDescent="0.2">
      <c r="B68" s="5"/>
      <c r="C68" s="3"/>
      <c r="D68" s="3"/>
    </row>
    <row r="69" spans="2:4" x14ac:dyDescent="0.2">
      <c r="B69" s="5"/>
      <c r="C69" s="3"/>
      <c r="D69" s="3"/>
    </row>
    <row r="70" spans="2:4" x14ac:dyDescent="0.2">
      <c r="B70" s="5"/>
      <c r="C70" s="3"/>
      <c r="D70" s="3"/>
    </row>
    <row r="71" spans="2:4" x14ac:dyDescent="0.2">
      <c r="B71" s="5"/>
      <c r="C71" s="3"/>
      <c r="D71" s="3"/>
    </row>
    <row r="72" spans="2:4" x14ac:dyDescent="0.2">
      <c r="B72" s="5"/>
      <c r="C72" s="3"/>
      <c r="D72" s="3"/>
    </row>
    <row r="73" spans="2:4" x14ac:dyDescent="0.2">
      <c r="B73" s="5"/>
      <c r="C73" s="3"/>
      <c r="D73" s="3"/>
    </row>
    <row r="74" spans="2:4" x14ac:dyDescent="0.2">
      <c r="B74" s="5"/>
      <c r="C74" s="3"/>
      <c r="D74" s="3"/>
    </row>
    <row r="75" spans="2:4" x14ac:dyDescent="0.2">
      <c r="B75" s="5"/>
      <c r="C75" s="3"/>
      <c r="D75" s="3"/>
    </row>
    <row r="76" spans="2:4" x14ac:dyDescent="0.2">
      <c r="C76" s="3"/>
      <c r="D76" s="3"/>
    </row>
    <row r="77" spans="2:4" x14ac:dyDescent="0.2">
      <c r="C77" s="3"/>
      <c r="D77" s="3"/>
    </row>
    <row r="78" spans="2:4" x14ac:dyDescent="0.2">
      <c r="C78" s="3"/>
      <c r="D78" s="3"/>
    </row>
    <row r="79" spans="2:4" x14ac:dyDescent="0.2">
      <c r="C79" s="3"/>
      <c r="D79" s="3"/>
    </row>
    <row r="80" spans="2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2"/>
  <sheetViews>
    <sheetView topLeftCell="A5" workbookViewId="0">
      <selection activeCell="A17" sqref="A17:C48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5" t="s">
        <v>44</v>
      </c>
      <c r="I1" s="16" t="s">
        <v>45</v>
      </c>
      <c r="J1" s="17" t="s">
        <v>46</v>
      </c>
    </row>
    <row r="2" spans="1:16" x14ac:dyDescent="0.2">
      <c r="I2" s="18" t="s">
        <v>47</v>
      </c>
      <c r="J2" s="19" t="s">
        <v>48</v>
      </c>
    </row>
    <row r="3" spans="1:16" x14ac:dyDescent="0.2">
      <c r="A3" s="20" t="s">
        <v>49</v>
      </c>
      <c r="I3" s="18" t="s">
        <v>50</v>
      </c>
      <c r="J3" s="19" t="s">
        <v>51</v>
      </c>
    </row>
    <row r="4" spans="1:16" x14ac:dyDescent="0.2">
      <c r="I4" s="18" t="s">
        <v>52</v>
      </c>
      <c r="J4" s="19" t="s">
        <v>51</v>
      </c>
    </row>
    <row r="5" spans="1:16" ht="13.5" thickBot="1" x14ac:dyDescent="0.25">
      <c r="I5" s="21" t="s">
        <v>53</v>
      </c>
      <c r="J5" s="22" t="s">
        <v>54</v>
      </c>
    </row>
    <row r="10" spans="1:16" ht="13.5" thickBot="1" x14ac:dyDescent="0.25"/>
    <row r="11" spans="1:16" ht="12.75" customHeight="1" thickBot="1" x14ac:dyDescent="0.25">
      <c r="A11" s="3" t="str">
        <f t="shared" ref="A11:A48" si="0">P11</f>
        <v>BAVM 152 </v>
      </c>
      <c r="B11" s="5" t="str">
        <f t="shared" ref="B11:B48" si="1">IF(H11=INT(H11),"I","II")</f>
        <v>I</v>
      </c>
      <c r="C11" s="3">
        <f t="shared" ref="C11:C48" si="2">1*G11</f>
        <v>52073.4467</v>
      </c>
      <c r="D11" s="4" t="str">
        <f t="shared" ref="D11:D48" si="3">VLOOKUP(F11,I$1:J$5,2,FALSE)</f>
        <v>vis</v>
      </c>
      <c r="E11" s="23">
        <f>VLOOKUP(C11,Active!C$21:E$970,3,FALSE)</f>
        <v>18426.981218465891</v>
      </c>
      <c r="F11" s="5" t="s">
        <v>53</v>
      </c>
      <c r="G11" s="4" t="str">
        <f t="shared" ref="G11:G48" si="4">MID(I11,3,LEN(I11)-3)</f>
        <v>52073.4467</v>
      </c>
      <c r="H11" s="3">
        <f t="shared" ref="H11:H48" si="5">1*K11</f>
        <v>18427</v>
      </c>
      <c r="I11" s="24" t="s">
        <v>138</v>
      </c>
      <c r="J11" s="25" t="s">
        <v>139</v>
      </c>
      <c r="K11" s="24">
        <v>18427</v>
      </c>
      <c r="L11" s="24" t="s">
        <v>140</v>
      </c>
      <c r="M11" s="25" t="s">
        <v>141</v>
      </c>
      <c r="N11" s="25" t="s">
        <v>142</v>
      </c>
      <c r="O11" s="26" t="s">
        <v>143</v>
      </c>
      <c r="P11" s="27" t="s">
        <v>144</v>
      </c>
    </row>
    <row r="12" spans="1:16" ht="12.75" customHeight="1" thickBot="1" x14ac:dyDescent="0.25">
      <c r="A12" s="3" t="str">
        <f t="shared" si="0"/>
        <v>BAVM 183 </v>
      </c>
      <c r="B12" s="5" t="str">
        <f t="shared" si="1"/>
        <v>I</v>
      </c>
      <c r="C12" s="3">
        <f t="shared" si="2"/>
        <v>53942.490700000002</v>
      </c>
      <c r="D12" s="4" t="str">
        <f t="shared" si="3"/>
        <v>vis</v>
      </c>
      <c r="E12" s="23">
        <f>VLOOKUP(C12,Active!C$21:E$970,3,FALSE)</f>
        <v>19705.979460004462</v>
      </c>
      <c r="F12" s="5" t="s">
        <v>53</v>
      </c>
      <c r="G12" s="4" t="str">
        <f t="shared" si="4"/>
        <v>53942.4907</v>
      </c>
      <c r="H12" s="3">
        <f t="shared" si="5"/>
        <v>19706</v>
      </c>
      <c r="I12" s="24" t="s">
        <v>151</v>
      </c>
      <c r="J12" s="25" t="s">
        <v>152</v>
      </c>
      <c r="K12" s="24">
        <v>19706</v>
      </c>
      <c r="L12" s="24" t="s">
        <v>153</v>
      </c>
      <c r="M12" s="25" t="s">
        <v>154</v>
      </c>
      <c r="N12" s="25" t="s">
        <v>155</v>
      </c>
      <c r="O12" s="26" t="s">
        <v>156</v>
      </c>
      <c r="P12" s="27" t="s">
        <v>157</v>
      </c>
    </row>
    <row r="13" spans="1:16" ht="12.75" customHeight="1" thickBot="1" x14ac:dyDescent="0.25">
      <c r="A13" s="3" t="str">
        <f t="shared" si="0"/>
        <v>BAVM 220 </v>
      </c>
      <c r="B13" s="5" t="str">
        <f t="shared" si="1"/>
        <v>I</v>
      </c>
      <c r="C13" s="3">
        <f t="shared" si="2"/>
        <v>55776.462899999999</v>
      </c>
      <c r="D13" s="4" t="str">
        <f t="shared" si="3"/>
        <v>vis</v>
      </c>
      <c r="E13" s="23">
        <f>VLOOKUP(C13,Active!C$21:E$970,3,FALSE)</f>
        <v>20960.977854280158</v>
      </c>
      <c r="F13" s="5" t="s">
        <v>53</v>
      </c>
      <c r="G13" s="4" t="str">
        <f t="shared" si="4"/>
        <v>55776.4629</v>
      </c>
      <c r="H13" s="3">
        <f t="shared" si="5"/>
        <v>20961</v>
      </c>
      <c r="I13" s="24" t="s">
        <v>174</v>
      </c>
      <c r="J13" s="25" t="s">
        <v>175</v>
      </c>
      <c r="K13" s="24" t="s">
        <v>176</v>
      </c>
      <c r="L13" s="24" t="s">
        <v>177</v>
      </c>
      <c r="M13" s="25" t="s">
        <v>154</v>
      </c>
      <c r="N13" s="25">
        <v>0</v>
      </c>
      <c r="O13" s="26" t="s">
        <v>143</v>
      </c>
      <c r="P13" s="27" t="s">
        <v>178</v>
      </c>
    </row>
    <row r="14" spans="1:16" ht="12.75" customHeight="1" thickBot="1" x14ac:dyDescent="0.25">
      <c r="A14" s="3" t="str">
        <f t="shared" si="0"/>
        <v>OEJV 0160 </v>
      </c>
      <c r="B14" s="5" t="str">
        <f t="shared" si="1"/>
        <v>I</v>
      </c>
      <c r="C14" s="3">
        <f t="shared" si="2"/>
        <v>56175.406190000002</v>
      </c>
      <c r="D14" s="4" t="str">
        <f t="shared" si="3"/>
        <v>vis</v>
      </c>
      <c r="E14" s="23">
        <f>VLOOKUP(C14,Active!C$21:E$970,3,FALSE)</f>
        <v>21233.977187834433</v>
      </c>
      <c r="F14" s="5" t="s">
        <v>53</v>
      </c>
      <c r="G14" s="4" t="str">
        <f t="shared" si="4"/>
        <v>56175.40619</v>
      </c>
      <c r="H14" s="3">
        <f t="shared" si="5"/>
        <v>21234</v>
      </c>
      <c r="I14" s="24" t="s">
        <v>179</v>
      </c>
      <c r="J14" s="25" t="s">
        <v>180</v>
      </c>
      <c r="K14" s="24">
        <v>21234</v>
      </c>
      <c r="L14" s="24" t="s">
        <v>181</v>
      </c>
      <c r="M14" s="25" t="s">
        <v>154</v>
      </c>
      <c r="N14" s="25" t="s">
        <v>53</v>
      </c>
      <c r="O14" s="26" t="s">
        <v>168</v>
      </c>
      <c r="P14" s="27" t="s">
        <v>182</v>
      </c>
    </row>
    <row r="15" spans="1:16" ht="12.75" customHeight="1" thickBot="1" x14ac:dyDescent="0.25">
      <c r="A15" s="3" t="str">
        <f t="shared" si="0"/>
        <v>OEJV 0160 </v>
      </c>
      <c r="B15" s="5" t="str">
        <f t="shared" si="1"/>
        <v>I</v>
      </c>
      <c r="C15" s="3">
        <f t="shared" si="2"/>
        <v>56175.406629999998</v>
      </c>
      <c r="D15" s="4" t="str">
        <f t="shared" si="3"/>
        <v>vis</v>
      </c>
      <c r="E15" s="23">
        <f>VLOOKUP(C15,Active!C$21:E$970,3,FALSE)</f>
        <v>21233.977488929122</v>
      </c>
      <c r="F15" s="5" t="s">
        <v>53</v>
      </c>
      <c r="G15" s="4" t="str">
        <f t="shared" si="4"/>
        <v>56175.40663</v>
      </c>
      <c r="H15" s="3">
        <f t="shared" si="5"/>
        <v>21234</v>
      </c>
      <c r="I15" s="24" t="s">
        <v>183</v>
      </c>
      <c r="J15" s="25" t="s">
        <v>184</v>
      </c>
      <c r="K15" s="24">
        <v>21234</v>
      </c>
      <c r="L15" s="24" t="s">
        <v>185</v>
      </c>
      <c r="M15" s="25" t="s">
        <v>154</v>
      </c>
      <c r="N15" s="25" t="s">
        <v>167</v>
      </c>
      <c r="O15" s="26" t="s">
        <v>168</v>
      </c>
      <c r="P15" s="27" t="s">
        <v>182</v>
      </c>
    </row>
    <row r="16" spans="1:16" ht="12.75" customHeight="1" thickBot="1" x14ac:dyDescent="0.25">
      <c r="A16" s="3" t="str">
        <f t="shared" si="0"/>
        <v>OEJV 0160 </v>
      </c>
      <c r="B16" s="5" t="str">
        <f t="shared" si="1"/>
        <v>I</v>
      </c>
      <c r="C16" s="3">
        <f t="shared" si="2"/>
        <v>56175.40711</v>
      </c>
      <c r="D16" s="4" t="str">
        <f t="shared" si="3"/>
        <v>vis</v>
      </c>
      <c r="E16" s="23">
        <f>VLOOKUP(C16,Active!C$21:E$970,3,FALSE)</f>
        <v>21233.977817396059</v>
      </c>
      <c r="F16" s="5" t="s">
        <v>53</v>
      </c>
      <c r="G16" s="4" t="str">
        <f t="shared" si="4"/>
        <v>56175.40711</v>
      </c>
      <c r="H16" s="3">
        <f t="shared" si="5"/>
        <v>21234</v>
      </c>
      <c r="I16" s="24" t="s">
        <v>186</v>
      </c>
      <c r="J16" s="25" t="s">
        <v>187</v>
      </c>
      <c r="K16" s="24">
        <v>21234</v>
      </c>
      <c r="L16" s="24" t="s">
        <v>188</v>
      </c>
      <c r="M16" s="25" t="s">
        <v>154</v>
      </c>
      <c r="N16" s="25" t="s">
        <v>37</v>
      </c>
      <c r="O16" s="26" t="s">
        <v>168</v>
      </c>
      <c r="P16" s="27" t="s">
        <v>182</v>
      </c>
    </row>
    <row r="17" spans="1:16" ht="12.75" customHeight="1" thickBot="1" x14ac:dyDescent="0.25">
      <c r="A17" s="3" t="str">
        <f t="shared" si="0"/>
        <v> AAAN 11.5.12 </v>
      </c>
      <c r="B17" s="5" t="str">
        <f t="shared" si="1"/>
        <v>I</v>
      </c>
      <c r="C17" s="3">
        <f t="shared" si="2"/>
        <v>23612.367999999999</v>
      </c>
      <c r="D17" s="4" t="str">
        <f t="shared" si="3"/>
        <v>vis</v>
      </c>
      <c r="E17" s="23">
        <f>VLOOKUP(C17,Active!C$21:E$970,3,FALSE)</f>
        <v>-1049.1090231714959</v>
      </c>
      <c r="F17" s="5" t="s">
        <v>53</v>
      </c>
      <c r="G17" s="4" t="str">
        <f t="shared" si="4"/>
        <v>23612.368</v>
      </c>
      <c r="H17" s="3">
        <f t="shared" si="5"/>
        <v>-1049</v>
      </c>
      <c r="I17" s="24" t="s">
        <v>56</v>
      </c>
      <c r="J17" s="25" t="s">
        <v>57</v>
      </c>
      <c r="K17" s="24">
        <v>-1049</v>
      </c>
      <c r="L17" s="24" t="s">
        <v>58</v>
      </c>
      <c r="M17" s="25" t="s">
        <v>59</v>
      </c>
      <c r="N17" s="25"/>
      <c r="O17" s="26" t="s">
        <v>60</v>
      </c>
      <c r="P17" s="26" t="s">
        <v>61</v>
      </c>
    </row>
    <row r="18" spans="1:16" ht="12.75" customHeight="1" thickBot="1" x14ac:dyDescent="0.25">
      <c r="A18" s="3" t="str">
        <f t="shared" si="0"/>
        <v> KVBB 24.85 </v>
      </c>
      <c r="B18" s="5" t="str">
        <f t="shared" si="1"/>
        <v>I</v>
      </c>
      <c r="C18" s="3">
        <f t="shared" si="2"/>
        <v>25145.43</v>
      </c>
      <c r="D18" s="4" t="str">
        <f t="shared" si="3"/>
        <v>vis</v>
      </c>
      <c r="E18" s="23">
        <f>VLOOKUP(C18,Active!C$21:E$970,3,FALSE)</f>
        <v>-2.531932631723072E-2</v>
      </c>
      <c r="F18" s="5" t="s">
        <v>53</v>
      </c>
      <c r="G18" s="4" t="str">
        <f t="shared" si="4"/>
        <v>25145.430</v>
      </c>
      <c r="H18" s="3">
        <f t="shared" si="5"/>
        <v>0</v>
      </c>
      <c r="I18" s="24" t="s">
        <v>62</v>
      </c>
      <c r="J18" s="25" t="s">
        <v>63</v>
      </c>
      <c r="K18" s="24">
        <v>0</v>
      </c>
      <c r="L18" s="24" t="s">
        <v>64</v>
      </c>
      <c r="M18" s="25" t="s">
        <v>59</v>
      </c>
      <c r="N18" s="25"/>
      <c r="O18" s="26" t="s">
        <v>65</v>
      </c>
      <c r="P18" s="26" t="s">
        <v>66</v>
      </c>
    </row>
    <row r="19" spans="1:16" ht="12.75" customHeight="1" thickBot="1" x14ac:dyDescent="0.25">
      <c r="A19" s="3" t="str">
        <f t="shared" si="0"/>
        <v> AAAN 11.5.12 </v>
      </c>
      <c r="B19" s="5" t="str">
        <f t="shared" si="1"/>
        <v>I</v>
      </c>
      <c r="C19" s="3">
        <f t="shared" si="2"/>
        <v>25145.456999999999</v>
      </c>
      <c r="D19" s="4" t="str">
        <f t="shared" si="3"/>
        <v>vis</v>
      </c>
      <c r="E19" s="23">
        <f>VLOOKUP(C19,Active!C$21:E$970,3,FALSE)</f>
        <v>-6.8430611681647843E-3</v>
      </c>
      <c r="F19" s="5" t="s">
        <v>53</v>
      </c>
      <c r="G19" s="4" t="str">
        <f t="shared" si="4"/>
        <v>25145.457</v>
      </c>
      <c r="H19" s="3">
        <f t="shared" si="5"/>
        <v>0</v>
      </c>
      <c r="I19" s="24" t="s">
        <v>67</v>
      </c>
      <c r="J19" s="25" t="s">
        <v>68</v>
      </c>
      <c r="K19" s="24">
        <v>0</v>
      </c>
      <c r="L19" s="24" t="s">
        <v>69</v>
      </c>
      <c r="M19" s="25" t="s">
        <v>59</v>
      </c>
      <c r="N19" s="25"/>
      <c r="O19" s="26" t="s">
        <v>65</v>
      </c>
      <c r="P19" s="26" t="s">
        <v>61</v>
      </c>
    </row>
    <row r="20" spans="1:16" ht="12.75" customHeight="1" thickBot="1" x14ac:dyDescent="0.25">
      <c r="A20" s="3" t="str">
        <f t="shared" si="0"/>
        <v> KVBB 24.85 </v>
      </c>
      <c r="B20" s="5" t="str">
        <f t="shared" si="1"/>
        <v>I</v>
      </c>
      <c r="C20" s="3">
        <f t="shared" si="2"/>
        <v>25170.317999999999</v>
      </c>
      <c r="D20" s="4" t="str">
        <f t="shared" si="3"/>
        <v>vis</v>
      </c>
      <c r="E20" s="23">
        <f>VLOOKUP(C20,Active!C$21:E$970,3,FALSE)</f>
        <v>17.005691305540935</v>
      </c>
      <c r="F20" s="5" t="s">
        <v>53</v>
      </c>
      <c r="G20" s="4" t="str">
        <f t="shared" si="4"/>
        <v>25170.318</v>
      </c>
      <c r="H20" s="3">
        <f t="shared" si="5"/>
        <v>17</v>
      </c>
      <c r="I20" s="24" t="s">
        <v>70</v>
      </c>
      <c r="J20" s="25" t="s">
        <v>71</v>
      </c>
      <c r="K20" s="24">
        <v>17</v>
      </c>
      <c r="L20" s="24" t="s">
        <v>72</v>
      </c>
      <c r="M20" s="25" t="s">
        <v>59</v>
      </c>
      <c r="N20" s="25"/>
      <c r="O20" s="26" t="s">
        <v>65</v>
      </c>
      <c r="P20" s="26" t="s">
        <v>66</v>
      </c>
    </row>
    <row r="21" spans="1:16" ht="12.75" customHeight="1" thickBot="1" x14ac:dyDescent="0.25">
      <c r="A21" s="3" t="str">
        <f t="shared" si="0"/>
        <v> KVBB 24.85 </v>
      </c>
      <c r="B21" s="5" t="str">
        <f t="shared" si="1"/>
        <v>I</v>
      </c>
      <c r="C21" s="3">
        <f t="shared" si="2"/>
        <v>25307.682000000001</v>
      </c>
      <c r="D21" s="4" t="str">
        <f t="shared" si="3"/>
        <v>vis</v>
      </c>
      <c r="E21" s="23">
        <f>VLOOKUP(C21,Active!C$21:E$970,3,FALSE)</f>
        <v>111.00471671677052</v>
      </c>
      <c r="F21" s="5" t="s">
        <v>53</v>
      </c>
      <c r="G21" s="4" t="str">
        <f t="shared" si="4"/>
        <v>25307.682</v>
      </c>
      <c r="H21" s="3">
        <f t="shared" si="5"/>
        <v>111</v>
      </c>
      <c r="I21" s="24" t="s">
        <v>73</v>
      </c>
      <c r="J21" s="25" t="s">
        <v>74</v>
      </c>
      <c r="K21" s="24">
        <v>111</v>
      </c>
      <c r="L21" s="24" t="s">
        <v>75</v>
      </c>
      <c r="M21" s="25" t="s">
        <v>59</v>
      </c>
      <c r="N21" s="25"/>
      <c r="O21" s="26" t="s">
        <v>65</v>
      </c>
      <c r="P21" s="26" t="s">
        <v>66</v>
      </c>
    </row>
    <row r="22" spans="1:16" ht="12.75" customHeight="1" thickBot="1" x14ac:dyDescent="0.25">
      <c r="A22" s="3" t="str">
        <f t="shared" si="0"/>
        <v> KVBB 24.85 </v>
      </c>
      <c r="B22" s="5" t="str">
        <f t="shared" si="1"/>
        <v>I</v>
      </c>
      <c r="C22" s="3">
        <f t="shared" si="2"/>
        <v>25329.616000000002</v>
      </c>
      <c r="D22" s="4" t="str">
        <f t="shared" si="3"/>
        <v>vis</v>
      </c>
      <c r="E22" s="23">
        <f>VLOOKUP(C22,Active!C$21:E$970,3,FALSE)</f>
        <v>126.01428707996605</v>
      </c>
      <c r="F22" s="5" t="s">
        <v>53</v>
      </c>
      <c r="G22" s="4" t="str">
        <f t="shared" si="4"/>
        <v>25329.616</v>
      </c>
      <c r="H22" s="3">
        <f t="shared" si="5"/>
        <v>126</v>
      </c>
      <c r="I22" s="24" t="s">
        <v>76</v>
      </c>
      <c r="J22" s="25" t="s">
        <v>77</v>
      </c>
      <c r="K22" s="24">
        <v>126</v>
      </c>
      <c r="L22" s="24" t="s">
        <v>78</v>
      </c>
      <c r="M22" s="25" t="s">
        <v>59</v>
      </c>
      <c r="N22" s="25"/>
      <c r="O22" s="26" t="s">
        <v>65</v>
      </c>
      <c r="P22" s="26" t="s">
        <v>66</v>
      </c>
    </row>
    <row r="23" spans="1:16" ht="12.75" customHeight="1" thickBot="1" x14ac:dyDescent="0.25">
      <c r="A23" s="3" t="str">
        <f t="shared" si="0"/>
        <v> KVBB 24.85 </v>
      </c>
      <c r="B23" s="5" t="str">
        <f t="shared" si="1"/>
        <v>I</v>
      </c>
      <c r="C23" s="3">
        <f t="shared" si="2"/>
        <v>25427.484</v>
      </c>
      <c r="D23" s="4" t="str">
        <f t="shared" si="3"/>
        <v>vis</v>
      </c>
      <c r="E23" s="23">
        <f>VLOOKUP(C23,Active!C$21:E$970,3,FALSE)</f>
        <v>192.98595810691626</v>
      </c>
      <c r="F23" s="5" t="s">
        <v>53</v>
      </c>
      <c r="G23" s="4" t="str">
        <f t="shared" si="4"/>
        <v>25427.484</v>
      </c>
      <c r="H23" s="3">
        <f t="shared" si="5"/>
        <v>193</v>
      </c>
      <c r="I23" s="24" t="s">
        <v>79</v>
      </c>
      <c r="J23" s="25" t="s">
        <v>80</v>
      </c>
      <c r="K23" s="24">
        <v>193</v>
      </c>
      <c r="L23" s="24" t="s">
        <v>81</v>
      </c>
      <c r="M23" s="25" t="s">
        <v>59</v>
      </c>
      <c r="N23" s="25"/>
      <c r="O23" s="26" t="s">
        <v>65</v>
      </c>
      <c r="P23" s="26" t="s">
        <v>66</v>
      </c>
    </row>
    <row r="24" spans="1:16" ht="12.75" customHeight="1" thickBot="1" x14ac:dyDescent="0.25">
      <c r="A24" s="3" t="str">
        <f t="shared" si="0"/>
        <v> KVBB 24.85 </v>
      </c>
      <c r="B24" s="5" t="str">
        <f t="shared" si="1"/>
        <v>I</v>
      </c>
      <c r="C24" s="3">
        <f t="shared" si="2"/>
        <v>25465.545999999998</v>
      </c>
      <c r="D24" s="4" t="str">
        <f t="shared" si="3"/>
        <v>vis</v>
      </c>
      <c r="E24" s="23">
        <f>VLOOKUP(C24,Active!C$21:E$970,3,FALSE)</f>
        <v>219.03201751987748</v>
      </c>
      <c r="F24" s="5" t="s">
        <v>53</v>
      </c>
      <c r="G24" s="4" t="str">
        <f t="shared" si="4"/>
        <v>25465.546</v>
      </c>
      <c r="H24" s="3">
        <f t="shared" si="5"/>
        <v>219</v>
      </c>
      <c r="I24" s="24" t="s">
        <v>82</v>
      </c>
      <c r="J24" s="25" t="s">
        <v>83</v>
      </c>
      <c r="K24" s="24">
        <v>219</v>
      </c>
      <c r="L24" s="24" t="s">
        <v>84</v>
      </c>
      <c r="M24" s="25" t="s">
        <v>59</v>
      </c>
      <c r="N24" s="25"/>
      <c r="O24" s="26" t="s">
        <v>65</v>
      </c>
      <c r="P24" s="26" t="s">
        <v>66</v>
      </c>
    </row>
    <row r="25" spans="1:16" ht="12.75" customHeight="1" thickBot="1" x14ac:dyDescent="0.25">
      <c r="A25" s="3" t="str">
        <f t="shared" si="0"/>
        <v> AAAN 11.5.12 </v>
      </c>
      <c r="B25" s="5" t="str">
        <f t="shared" si="1"/>
        <v>I</v>
      </c>
      <c r="C25" s="3">
        <f t="shared" si="2"/>
        <v>28122.235000000001</v>
      </c>
      <c r="D25" s="4" t="str">
        <f t="shared" si="3"/>
        <v>vis</v>
      </c>
      <c r="E25" s="23">
        <f>VLOOKUP(C25,Active!C$21:E$970,3,FALSE)</f>
        <v>2037.0205503285592</v>
      </c>
      <c r="F25" s="5" t="s">
        <v>53</v>
      </c>
      <c r="G25" s="4" t="str">
        <f t="shared" si="4"/>
        <v>28122.235</v>
      </c>
      <c r="H25" s="3">
        <f t="shared" si="5"/>
        <v>2037</v>
      </c>
      <c r="I25" s="24" t="s">
        <v>85</v>
      </c>
      <c r="J25" s="25" t="s">
        <v>86</v>
      </c>
      <c r="K25" s="24">
        <v>2037</v>
      </c>
      <c r="L25" s="24" t="s">
        <v>87</v>
      </c>
      <c r="M25" s="25" t="s">
        <v>59</v>
      </c>
      <c r="N25" s="25"/>
      <c r="O25" s="26" t="s">
        <v>60</v>
      </c>
      <c r="P25" s="26" t="s">
        <v>61</v>
      </c>
    </row>
    <row r="26" spans="1:16" ht="12.75" customHeight="1" thickBot="1" x14ac:dyDescent="0.25">
      <c r="A26" s="3" t="str">
        <f t="shared" si="0"/>
        <v> AAAN 11.5.12 </v>
      </c>
      <c r="B26" s="5" t="str">
        <f t="shared" si="1"/>
        <v>I</v>
      </c>
      <c r="C26" s="3">
        <f t="shared" si="2"/>
        <v>28420.32</v>
      </c>
      <c r="D26" s="4" t="str">
        <f t="shared" si="3"/>
        <v>vis</v>
      </c>
      <c r="E26" s="23">
        <f>VLOOKUP(C26,Active!C$21:E$970,3,FALSE)</f>
        <v>2241.0019391182423</v>
      </c>
      <c r="F26" s="5" t="s">
        <v>53</v>
      </c>
      <c r="G26" s="4" t="str">
        <f t="shared" si="4"/>
        <v>28420.320</v>
      </c>
      <c r="H26" s="3">
        <f t="shared" si="5"/>
        <v>2241</v>
      </c>
      <c r="I26" s="24" t="s">
        <v>88</v>
      </c>
      <c r="J26" s="25" t="s">
        <v>89</v>
      </c>
      <c r="K26" s="24">
        <v>2241</v>
      </c>
      <c r="L26" s="24" t="s">
        <v>90</v>
      </c>
      <c r="M26" s="25" t="s">
        <v>59</v>
      </c>
      <c r="N26" s="25"/>
      <c r="O26" s="26" t="s">
        <v>60</v>
      </c>
      <c r="P26" s="26" t="s">
        <v>61</v>
      </c>
    </row>
    <row r="27" spans="1:16" ht="12.75" customHeight="1" thickBot="1" x14ac:dyDescent="0.25">
      <c r="A27" s="3" t="str">
        <f t="shared" si="0"/>
        <v> AAAN 11.5.12 </v>
      </c>
      <c r="B27" s="5" t="str">
        <f t="shared" si="1"/>
        <v>I</v>
      </c>
      <c r="C27" s="3">
        <f t="shared" si="2"/>
        <v>28860.215</v>
      </c>
      <c r="D27" s="4" t="str">
        <f t="shared" si="3"/>
        <v>vis</v>
      </c>
      <c r="E27" s="23">
        <f>VLOOKUP(C27,Active!C$21:E$970,3,FALSE)</f>
        <v>2542.0247783139007</v>
      </c>
      <c r="F27" s="5" t="s">
        <v>53</v>
      </c>
      <c r="G27" s="4" t="str">
        <f t="shared" si="4"/>
        <v>28860.215</v>
      </c>
      <c r="H27" s="3">
        <f t="shared" si="5"/>
        <v>2542</v>
      </c>
      <c r="I27" s="24" t="s">
        <v>91</v>
      </c>
      <c r="J27" s="25" t="s">
        <v>92</v>
      </c>
      <c r="K27" s="24">
        <v>2542</v>
      </c>
      <c r="L27" s="24" t="s">
        <v>93</v>
      </c>
      <c r="M27" s="25" t="s">
        <v>59</v>
      </c>
      <c r="N27" s="25"/>
      <c r="O27" s="26" t="s">
        <v>60</v>
      </c>
      <c r="P27" s="26" t="s">
        <v>61</v>
      </c>
    </row>
    <row r="28" spans="1:16" ht="12.75" customHeight="1" thickBot="1" x14ac:dyDescent="0.25">
      <c r="A28" s="3" t="str">
        <f t="shared" si="0"/>
        <v> AAAN 11.5.12 </v>
      </c>
      <c r="B28" s="5" t="str">
        <f t="shared" si="1"/>
        <v>I</v>
      </c>
      <c r="C28" s="3">
        <f t="shared" si="2"/>
        <v>29193.327000000001</v>
      </c>
      <c r="D28" s="4" t="str">
        <f t="shared" si="3"/>
        <v>vis</v>
      </c>
      <c r="E28" s="23">
        <f>VLOOKUP(C28,Active!C$21:E$970,3,FALSE)</f>
        <v>2769.9753574524325</v>
      </c>
      <c r="F28" s="5" t="s">
        <v>53</v>
      </c>
      <c r="G28" s="4" t="str">
        <f t="shared" si="4"/>
        <v>29193.327</v>
      </c>
      <c r="H28" s="3">
        <f t="shared" si="5"/>
        <v>2770</v>
      </c>
      <c r="I28" s="24" t="s">
        <v>94</v>
      </c>
      <c r="J28" s="25" t="s">
        <v>95</v>
      </c>
      <c r="K28" s="24">
        <v>2770</v>
      </c>
      <c r="L28" s="24" t="s">
        <v>96</v>
      </c>
      <c r="M28" s="25" t="s">
        <v>59</v>
      </c>
      <c r="N28" s="25"/>
      <c r="O28" s="26" t="s">
        <v>60</v>
      </c>
      <c r="P28" s="26" t="s">
        <v>61</v>
      </c>
    </row>
    <row r="29" spans="1:16" ht="12.75" customHeight="1" thickBot="1" x14ac:dyDescent="0.25">
      <c r="A29" s="3" t="str">
        <f t="shared" si="0"/>
        <v> AHSB 6.2.162 </v>
      </c>
      <c r="B29" s="5" t="str">
        <f t="shared" si="1"/>
        <v>I</v>
      </c>
      <c r="C29" s="3">
        <f t="shared" si="2"/>
        <v>32763.395</v>
      </c>
      <c r="D29" s="4" t="str">
        <f t="shared" si="3"/>
        <v>vis</v>
      </c>
      <c r="E29" s="23">
        <f>VLOOKUP(C29,Active!C$21:E$970,3,FALSE)</f>
        <v>5212.9947268054948</v>
      </c>
      <c r="F29" s="5" t="s">
        <v>53</v>
      </c>
      <c r="G29" s="4" t="str">
        <f t="shared" si="4"/>
        <v>32763.395</v>
      </c>
      <c r="H29" s="3">
        <f t="shared" si="5"/>
        <v>5213</v>
      </c>
      <c r="I29" s="24" t="s">
        <v>97</v>
      </c>
      <c r="J29" s="25" t="s">
        <v>98</v>
      </c>
      <c r="K29" s="24">
        <v>5213</v>
      </c>
      <c r="L29" s="24" t="s">
        <v>99</v>
      </c>
      <c r="M29" s="25" t="s">
        <v>59</v>
      </c>
      <c r="N29" s="25"/>
      <c r="O29" s="26" t="s">
        <v>60</v>
      </c>
      <c r="P29" s="26" t="s">
        <v>100</v>
      </c>
    </row>
    <row r="30" spans="1:16" ht="12.75" customHeight="1" thickBot="1" x14ac:dyDescent="0.25">
      <c r="A30" s="3" t="str">
        <f t="shared" si="0"/>
        <v> AHSB 6.2.162 </v>
      </c>
      <c r="B30" s="5" t="str">
        <f t="shared" si="1"/>
        <v>I</v>
      </c>
      <c r="C30" s="3">
        <f t="shared" si="2"/>
        <v>33498.455000000002</v>
      </c>
      <c r="D30" s="4" t="str">
        <f t="shared" si="3"/>
        <v>vis</v>
      </c>
      <c r="E30" s="23">
        <f>VLOOKUP(C30,Active!C$21:E$970,3,FALSE)</f>
        <v>5716.0007809301405</v>
      </c>
      <c r="F30" s="5" t="s">
        <v>53</v>
      </c>
      <c r="G30" s="4" t="str">
        <f t="shared" si="4"/>
        <v>33498.455</v>
      </c>
      <c r="H30" s="3">
        <f t="shared" si="5"/>
        <v>5716</v>
      </c>
      <c r="I30" s="24" t="s">
        <v>101</v>
      </c>
      <c r="J30" s="25" t="s">
        <v>102</v>
      </c>
      <c r="K30" s="24">
        <v>5716</v>
      </c>
      <c r="L30" s="24" t="s">
        <v>103</v>
      </c>
      <c r="M30" s="25" t="s">
        <v>59</v>
      </c>
      <c r="N30" s="25"/>
      <c r="O30" s="26" t="s">
        <v>60</v>
      </c>
      <c r="P30" s="26" t="s">
        <v>100</v>
      </c>
    </row>
    <row r="31" spans="1:16" ht="12.75" customHeight="1" thickBot="1" x14ac:dyDescent="0.25">
      <c r="A31" s="3" t="str">
        <f t="shared" si="0"/>
        <v> AHSB 6.2.162 </v>
      </c>
      <c r="B31" s="5" t="str">
        <f t="shared" si="1"/>
        <v>I</v>
      </c>
      <c r="C31" s="3">
        <f t="shared" si="2"/>
        <v>33542.300000000003</v>
      </c>
      <c r="D31" s="4" t="str">
        <f t="shared" si="3"/>
        <v>vis</v>
      </c>
      <c r="E31" s="23">
        <f>VLOOKUP(C31,Active!C$21:E$970,3,FALSE)</f>
        <v>5746.0041826158476</v>
      </c>
      <c r="F31" s="5" t="s">
        <v>53</v>
      </c>
      <c r="G31" s="4" t="str">
        <f t="shared" si="4"/>
        <v>33542.300</v>
      </c>
      <c r="H31" s="3">
        <f t="shared" si="5"/>
        <v>5746</v>
      </c>
      <c r="I31" s="24" t="s">
        <v>104</v>
      </c>
      <c r="J31" s="25" t="s">
        <v>105</v>
      </c>
      <c r="K31" s="24">
        <v>5746</v>
      </c>
      <c r="L31" s="24" t="s">
        <v>106</v>
      </c>
      <c r="M31" s="25" t="s">
        <v>59</v>
      </c>
      <c r="N31" s="25"/>
      <c r="O31" s="26" t="s">
        <v>60</v>
      </c>
      <c r="P31" s="26" t="s">
        <v>100</v>
      </c>
    </row>
    <row r="32" spans="1:16" ht="12.75" customHeight="1" thickBot="1" x14ac:dyDescent="0.25">
      <c r="A32" s="3" t="str">
        <f t="shared" si="0"/>
        <v> AHSB 6.2.162 </v>
      </c>
      <c r="B32" s="5" t="str">
        <f t="shared" si="1"/>
        <v>I</v>
      </c>
      <c r="C32" s="3">
        <f t="shared" si="2"/>
        <v>34119.525000000001</v>
      </c>
      <c r="D32" s="4" t="str">
        <f t="shared" si="3"/>
        <v>vis</v>
      </c>
      <c r="E32" s="23">
        <f>VLOOKUP(C32,Active!C$21:E$970,3,FALSE)</f>
        <v>6141.002780814767</v>
      </c>
      <c r="F32" s="5" t="s">
        <v>53</v>
      </c>
      <c r="G32" s="4" t="str">
        <f t="shared" si="4"/>
        <v>34119.525</v>
      </c>
      <c r="H32" s="3">
        <f t="shared" si="5"/>
        <v>6141</v>
      </c>
      <c r="I32" s="24" t="s">
        <v>107</v>
      </c>
      <c r="J32" s="25" t="s">
        <v>108</v>
      </c>
      <c r="K32" s="24">
        <v>6141</v>
      </c>
      <c r="L32" s="24" t="s">
        <v>109</v>
      </c>
      <c r="M32" s="25" t="s">
        <v>59</v>
      </c>
      <c r="N32" s="25"/>
      <c r="O32" s="26" t="s">
        <v>60</v>
      </c>
      <c r="P32" s="26" t="s">
        <v>100</v>
      </c>
    </row>
    <row r="33" spans="1:16" ht="12.75" customHeight="1" thickBot="1" x14ac:dyDescent="0.25">
      <c r="A33" s="3" t="str">
        <f t="shared" si="0"/>
        <v> AHSB 6.2.162 </v>
      </c>
      <c r="B33" s="5" t="str">
        <f t="shared" si="1"/>
        <v>I</v>
      </c>
      <c r="C33" s="3">
        <f t="shared" si="2"/>
        <v>34157.519999999997</v>
      </c>
      <c r="D33" s="4" t="str">
        <f t="shared" si="3"/>
        <v>vis</v>
      </c>
      <c r="E33" s="23">
        <f>VLOOKUP(C33,Active!C$21:E$970,3,FALSE)</f>
        <v>6167.0029917179081</v>
      </c>
      <c r="F33" s="5" t="s">
        <v>53</v>
      </c>
      <c r="G33" s="4" t="str">
        <f t="shared" si="4"/>
        <v>34157.520</v>
      </c>
      <c r="H33" s="3">
        <f t="shared" si="5"/>
        <v>6167</v>
      </c>
      <c r="I33" s="24" t="s">
        <v>110</v>
      </c>
      <c r="J33" s="25" t="s">
        <v>111</v>
      </c>
      <c r="K33" s="24">
        <v>6167</v>
      </c>
      <c r="L33" s="24" t="s">
        <v>109</v>
      </c>
      <c r="M33" s="25" t="s">
        <v>59</v>
      </c>
      <c r="N33" s="25"/>
      <c r="O33" s="26" t="s">
        <v>60</v>
      </c>
      <c r="P33" s="26" t="s">
        <v>100</v>
      </c>
    </row>
    <row r="34" spans="1:16" ht="12.75" customHeight="1" thickBot="1" x14ac:dyDescent="0.25">
      <c r="A34" s="3" t="str">
        <f t="shared" si="0"/>
        <v> AHSB 6.2.162 </v>
      </c>
      <c r="B34" s="5" t="str">
        <f t="shared" si="1"/>
        <v>I</v>
      </c>
      <c r="C34" s="3">
        <f t="shared" si="2"/>
        <v>34214.53</v>
      </c>
      <c r="D34" s="4" t="str">
        <f t="shared" si="3"/>
        <v>vis</v>
      </c>
      <c r="E34" s="23">
        <f>VLOOKUP(C34,Active!C$21:E$970,3,FALSE)</f>
        <v>6206.0152834296696</v>
      </c>
      <c r="F34" s="5" t="s">
        <v>53</v>
      </c>
      <c r="G34" s="4" t="str">
        <f t="shared" si="4"/>
        <v>34214.530</v>
      </c>
      <c r="H34" s="3">
        <f t="shared" si="5"/>
        <v>6206</v>
      </c>
      <c r="I34" s="24" t="s">
        <v>112</v>
      </c>
      <c r="J34" s="25" t="s">
        <v>113</v>
      </c>
      <c r="K34" s="24">
        <v>6206</v>
      </c>
      <c r="L34" s="24" t="s">
        <v>114</v>
      </c>
      <c r="M34" s="25" t="s">
        <v>59</v>
      </c>
      <c r="N34" s="25"/>
      <c r="O34" s="26" t="s">
        <v>60</v>
      </c>
      <c r="P34" s="26" t="s">
        <v>100</v>
      </c>
    </row>
    <row r="35" spans="1:16" ht="12.75" customHeight="1" thickBot="1" x14ac:dyDescent="0.25">
      <c r="A35" s="3" t="str">
        <f t="shared" si="0"/>
        <v> AHSB 6.2.162 </v>
      </c>
      <c r="B35" s="5" t="str">
        <f t="shared" si="1"/>
        <v>I</v>
      </c>
      <c r="C35" s="3">
        <f t="shared" si="2"/>
        <v>34239.351999999999</v>
      </c>
      <c r="D35" s="4" t="str">
        <f t="shared" si="3"/>
        <v>vis</v>
      </c>
      <c r="E35" s="23">
        <f>VLOOKUP(C35,Active!C$21:E$970,3,FALSE)</f>
        <v>6223.0011298578274</v>
      </c>
      <c r="F35" s="5" t="s">
        <v>53</v>
      </c>
      <c r="G35" s="4" t="str">
        <f t="shared" si="4"/>
        <v>34239.352</v>
      </c>
      <c r="H35" s="3">
        <f t="shared" si="5"/>
        <v>6223</v>
      </c>
      <c r="I35" s="24" t="s">
        <v>115</v>
      </c>
      <c r="J35" s="25" t="s">
        <v>116</v>
      </c>
      <c r="K35" s="24">
        <v>6223</v>
      </c>
      <c r="L35" s="24" t="s">
        <v>117</v>
      </c>
      <c r="M35" s="25" t="s">
        <v>59</v>
      </c>
      <c r="N35" s="25"/>
      <c r="O35" s="26" t="s">
        <v>60</v>
      </c>
      <c r="P35" s="26" t="s">
        <v>100</v>
      </c>
    </row>
    <row r="36" spans="1:16" ht="12.75" customHeight="1" thickBot="1" x14ac:dyDescent="0.25">
      <c r="A36" s="3" t="str">
        <f t="shared" si="0"/>
        <v> AHSB 6.2.162 </v>
      </c>
      <c r="B36" s="5" t="str">
        <f t="shared" si="1"/>
        <v>I</v>
      </c>
      <c r="C36" s="3">
        <f t="shared" si="2"/>
        <v>34455.620000000003</v>
      </c>
      <c r="D36" s="4" t="str">
        <f t="shared" si="3"/>
        <v>vis</v>
      </c>
      <c r="E36" s="23">
        <f>VLOOKUP(C36,Active!C$21:E$970,3,FALSE)</f>
        <v>6370.9946450993466</v>
      </c>
      <c r="F36" s="5" t="s">
        <v>53</v>
      </c>
      <c r="G36" s="4" t="str">
        <f t="shared" si="4"/>
        <v>34455.620</v>
      </c>
      <c r="H36" s="3">
        <f t="shared" si="5"/>
        <v>6371</v>
      </c>
      <c r="I36" s="24" t="s">
        <v>118</v>
      </c>
      <c r="J36" s="25" t="s">
        <v>119</v>
      </c>
      <c r="K36" s="24">
        <v>6371</v>
      </c>
      <c r="L36" s="24" t="s">
        <v>99</v>
      </c>
      <c r="M36" s="25" t="s">
        <v>59</v>
      </c>
      <c r="N36" s="25"/>
      <c r="O36" s="26" t="s">
        <v>60</v>
      </c>
      <c r="P36" s="26" t="s">
        <v>100</v>
      </c>
    </row>
    <row r="37" spans="1:16" ht="12.75" customHeight="1" thickBot="1" x14ac:dyDescent="0.25">
      <c r="A37" s="3" t="str">
        <f t="shared" si="0"/>
        <v> AHSB 6.2.162 </v>
      </c>
      <c r="B37" s="5" t="str">
        <f t="shared" si="1"/>
        <v>I</v>
      </c>
      <c r="C37" s="3">
        <f t="shared" si="2"/>
        <v>34629.514999999999</v>
      </c>
      <c r="D37" s="4" t="str">
        <f t="shared" si="3"/>
        <v>vis</v>
      </c>
      <c r="E37" s="23">
        <f>VLOOKUP(C37,Active!C$21:E$970,3,FALSE)</f>
        <v>6489.9920572589026</v>
      </c>
      <c r="F37" s="5" t="s">
        <v>53</v>
      </c>
      <c r="G37" s="4" t="str">
        <f t="shared" si="4"/>
        <v>34629.515</v>
      </c>
      <c r="H37" s="3">
        <f t="shared" si="5"/>
        <v>6490</v>
      </c>
      <c r="I37" s="24" t="s">
        <v>120</v>
      </c>
      <c r="J37" s="25" t="s">
        <v>121</v>
      </c>
      <c r="K37" s="24">
        <v>6490</v>
      </c>
      <c r="L37" s="24" t="s">
        <v>122</v>
      </c>
      <c r="M37" s="25" t="s">
        <v>59</v>
      </c>
      <c r="N37" s="25"/>
      <c r="O37" s="26" t="s">
        <v>60</v>
      </c>
      <c r="P37" s="26" t="s">
        <v>100</v>
      </c>
    </row>
    <row r="38" spans="1:16" ht="12.75" customHeight="1" thickBot="1" x14ac:dyDescent="0.25">
      <c r="A38" s="3" t="str">
        <f t="shared" si="0"/>
        <v> AHSB 6.2.162 </v>
      </c>
      <c r="B38" s="5" t="str">
        <f t="shared" si="1"/>
        <v>I</v>
      </c>
      <c r="C38" s="3">
        <f t="shared" si="2"/>
        <v>34692.370000000003</v>
      </c>
      <c r="D38" s="4" t="str">
        <f t="shared" si="3"/>
        <v>vis</v>
      </c>
      <c r="E38" s="23">
        <f>VLOOKUP(C38,Active!C$21:E$970,3,FALSE)</f>
        <v>6533.0041182226414</v>
      </c>
      <c r="F38" s="5" t="s">
        <v>53</v>
      </c>
      <c r="G38" s="4" t="str">
        <f t="shared" si="4"/>
        <v>34692.370</v>
      </c>
      <c r="H38" s="3">
        <f t="shared" si="5"/>
        <v>6533</v>
      </c>
      <c r="I38" s="24" t="s">
        <v>123</v>
      </c>
      <c r="J38" s="25" t="s">
        <v>124</v>
      </c>
      <c r="K38" s="24">
        <v>6533</v>
      </c>
      <c r="L38" s="24" t="s">
        <v>106</v>
      </c>
      <c r="M38" s="25" t="s">
        <v>59</v>
      </c>
      <c r="N38" s="25"/>
      <c r="O38" s="26" t="s">
        <v>60</v>
      </c>
      <c r="P38" s="26" t="s">
        <v>100</v>
      </c>
    </row>
    <row r="39" spans="1:16" ht="12.75" customHeight="1" thickBot="1" x14ac:dyDescent="0.25">
      <c r="A39" s="3" t="str">
        <f t="shared" si="0"/>
        <v> AHSB 6.2.162 </v>
      </c>
      <c r="B39" s="5" t="str">
        <f t="shared" si="1"/>
        <v>I</v>
      </c>
      <c r="C39" s="3">
        <f t="shared" si="2"/>
        <v>34714.28</v>
      </c>
      <c r="D39" s="4" t="str">
        <f t="shared" si="3"/>
        <v>vis</v>
      </c>
      <c r="E39" s="23">
        <f>VLOOKUP(C39,Active!C$21:E$970,3,FALSE)</f>
        <v>6547.9972652390334</v>
      </c>
      <c r="F39" s="5" t="s">
        <v>53</v>
      </c>
      <c r="G39" s="4" t="str">
        <f t="shared" si="4"/>
        <v>34714.280</v>
      </c>
      <c r="H39" s="3">
        <f t="shared" si="5"/>
        <v>6548</v>
      </c>
      <c r="I39" s="24" t="s">
        <v>125</v>
      </c>
      <c r="J39" s="25" t="s">
        <v>126</v>
      </c>
      <c r="K39" s="24">
        <v>6548</v>
      </c>
      <c r="L39" s="24" t="s">
        <v>127</v>
      </c>
      <c r="M39" s="25" t="s">
        <v>59</v>
      </c>
      <c r="N39" s="25"/>
      <c r="O39" s="26" t="s">
        <v>60</v>
      </c>
      <c r="P39" s="26" t="s">
        <v>100</v>
      </c>
    </row>
    <row r="40" spans="1:16" ht="12.75" customHeight="1" thickBot="1" x14ac:dyDescent="0.25">
      <c r="A40" s="3" t="str">
        <f t="shared" si="0"/>
        <v> AHSB 6.2.162 </v>
      </c>
      <c r="B40" s="5" t="str">
        <f t="shared" si="1"/>
        <v>I</v>
      </c>
      <c r="C40" s="3">
        <f t="shared" si="2"/>
        <v>35009.480000000003</v>
      </c>
      <c r="D40" s="4" t="str">
        <f t="shared" si="3"/>
        <v>vis</v>
      </c>
      <c r="E40" s="23">
        <f>VLOOKUP(C40,Active!C$21:E$970,3,FALSE)</f>
        <v>6750.004430882107</v>
      </c>
      <c r="F40" s="5" t="s">
        <v>53</v>
      </c>
      <c r="G40" s="4" t="str">
        <f t="shared" si="4"/>
        <v>35009.480</v>
      </c>
      <c r="H40" s="3">
        <f t="shared" si="5"/>
        <v>6750</v>
      </c>
      <c r="I40" s="24" t="s">
        <v>128</v>
      </c>
      <c r="J40" s="25" t="s">
        <v>129</v>
      </c>
      <c r="K40" s="24">
        <v>6750</v>
      </c>
      <c r="L40" s="24" t="s">
        <v>106</v>
      </c>
      <c r="M40" s="25" t="s">
        <v>59</v>
      </c>
      <c r="N40" s="25"/>
      <c r="O40" s="26" t="s">
        <v>60</v>
      </c>
      <c r="P40" s="26" t="s">
        <v>100</v>
      </c>
    </row>
    <row r="41" spans="1:16" ht="12.75" customHeight="1" thickBot="1" x14ac:dyDescent="0.25">
      <c r="A41" s="3" t="str">
        <f t="shared" si="0"/>
        <v> AHSB 6.2.162 </v>
      </c>
      <c r="B41" s="5" t="str">
        <f t="shared" si="1"/>
        <v>I</v>
      </c>
      <c r="C41" s="3">
        <f t="shared" si="2"/>
        <v>35310.504999999997</v>
      </c>
      <c r="D41" s="4" t="str">
        <f t="shared" si="3"/>
        <v>vis</v>
      </c>
      <c r="E41" s="23">
        <f>VLOOKUP(C41,Active!C$21:E$970,3,FALSE)</f>
        <v>6955.9976796548171</v>
      </c>
      <c r="F41" s="5" t="s">
        <v>53</v>
      </c>
      <c r="G41" s="4" t="str">
        <f t="shared" si="4"/>
        <v>35310.505</v>
      </c>
      <c r="H41" s="3">
        <f t="shared" si="5"/>
        <v>6956</v>
      </c>
      <c r="I41" s="24" t="s">
        <v>130</v>
      </c>
      <c r="J41" s="25" t="s">
        <v>131</v>
      </c>
      <c r="K41" s="24">
        <v>6956</v>
      </c>
      <c r="L41" s="24" t="s">
        <v>55</v>
      </c>
      <c r="M41" s="25" t="s">
        <v>59</v>
      </c>
      <c r="N41" s="25"/>
      <c r="O41" s="26" t="s">
        <v>60</v>
      </c>
      <c r="P41" s="26" t="s">
        <v>100</v>
      </c>
    </row>
    <row r="42" spans="1:16" ht="12.75" customHeight="1" thickBot="1" x14ac:dyDescent="0.25">
      <c r="A42" s="3" t="str">
        <f t="shared" si="0"/>
        <v> AHSB 6.2.162 </v>
      </c>
      <c r="B42" s="5" t="str">
        <f t="shared" si="1"/>
        <v>I</v>
      </c>
      <c r="C42" s="3">
        <f t="shared" si="2"/>
        <v>35373.345000000001</v>
      </c>
      <c r="D42" s="4" t="str">
        <f t="shared" si="3"/>
        <v>vis</v>
      </c>
      <c r="E42" s="23">
        <f>VLOOKUP(C42,Active!C$21:E$970,3,FALSE)</f>
        <v>6998.9994760268064</v>
      </c>
      <c r="F42" s="5" t="s">
        <v>53</v>
      </c>
      <c r="G42" s="4" t="str">
        <f t="shared" si="4"/>
        <v>35373.345</v>
      </c>
      <c r="H42" s="3">
        <f t="shared" si="5"/>
        <v>6999</v>
      </c>
      <c r="I42" s="24" t="s">
        <v>132</v>
      </c>
      <c r="J42" s="25" t="s">
        <v>133</v>
      </c>
      <c r="K42" s="24">
        <v>6999</v>
      </c>
      <c r="L42" s="24" t="s">
        <v>134</v>
      </c>
      <c r="M42" s="25" t="s">
        <v>59</v>
      </c>
      <c r="N42" s="25"/>
      <c r="O42" s="26" t="s">
        <v>60</v>
      </c>
      <c r="P42" s="26" t="s">
        <v>100</v>
      </c>
    </row>
    <row r="43" spans="1:16" ht="12.75" customHeight="1" thickBot="1" x14ac:dyDescent="0.25">
      <c r="A43" s="3" t="str">
        <f t="shared" si="0"/>
        <v> AHSB 6.2.162 </v>
      </c>
      <c r="B43" s="5" t="str">
        <f t="shared" si="1"/>
        <v>I</v>
      </c>
      <c r="C43" s="3">
        <f t="shared" si="2"/>
        <v>36846.36</v>
      </c>
      <c r="D43" s="4" t="str">
        <f t="shared" si="3"/>
        <v>vis</v>
      </c>
      <c r="E43" s="23">
        <f>VLOOKUP(C43,Active!C$21:E$970,3,FALSE)</f>
        <v>8006.9926504838759</v>
      </c>
      <c r="F43" s="5" t="s">
        <v>53</v>
      </c>
      <c r="G43" s="4" t="str">
        <f t="shared" si="4"/>
        <v>36846.360</v>
      </c>
      <c r="H43" s="3">
        <f t="shared" si="5"/>
        <v>8007</v>
      </c>
      <c r="I43" s="24" t="s">
        <v>135</v>
      </c>
      <c r="J43" s="25" t="s">
        <v>136</v>
      </c>
      <c r="K43" s="24">
        <v>8007</v>
      </c>
      <c r="L43" s="24" t="s">
        <v>137</v>
      </c>
      <c r="M43" s="25" t="s">
        <v>59</v>
      </c>
      <c r="N43" s="25"/>
      <c r="O43" s="26" t="s">
        <v>60</v>
      </c>
      <c r="P43" s="26" t="s">
        <v>100</v>
      </c>
    </row>
    <row r="44" spans="1:16" ht="12.75" customHeight="1" thickBot="1" x14ac:dyDescent="0.25">
      <c r="A44" s="3" t="str">
        <f t="shared" si="0"/>
        <v> BBS 126 </v>
      </c>
      <c r="B44" s="5" t="str">
        <f t="shared" si="1"/>
        <v>I</v>
      </c>
      <c r="C44" s="3">
        <f t="shared" si="2"/>
        <v>52133.363899999997</v>
      </c>
      <c r="D44" s="4" t="str">
        <f t="shared" si="3"/>
        <v>vis</v>
      </c>
      <c r="E44" s="23">
        <f>VLOOKUP(C44,Active!C$21:E$970,3,FALSE)</f>
        <v>18467.982924920052</v>
      </c>
      <c r="F44" s="5" t="s">
        <v>53</v>
      </c>
      <c r="G44" s="4" t="str">
        <f t="shared" si="4"/>
        <v>52133.3639</v>
      </c>
      <c r="H44" s="3">
        <f t="shared" si="5"/>
        <v>18468</v>
      </c>
      <c r="I44" s="24" t="s">
        <v>145</v>
      </c>
      <c r="J44" s="25" t="s">
        <v>146</v>
      </c>
      <c r="K44" s="24">
        <v>18468</v>
      </c>
      <c r="L44" s="24" t="s">
        <v>147</v>
      </c>
      <c r="M44" s="25" t="s">
        <v>141</v>
      </c>
      <c r="N44" s="25" t="s">
        <v>148</v>
      </c>
      <c r="O44" s="26" t="s">
        <v>149</v>
      </c>
      <c r="P44" s="26" t="s">
        <v>150</v>
      </c>
    </row>
    <row r="45" spans="1:16" ht="12.75" customHeight="1" thickBot="1" x14ac:dyDescent="0.25">
      <c r="A45" s="3" t="str">
        <f t="shared" si="0"/>
        <v>BAVM 212 </v>
      </c>
      <c r="B45" s="5" t="str">
        <f t="shared" si="1"/>
        <v>I</v>
      </c>
      <c r="C45" s="3">
        <f t="shared" si="2"/>
        <v>55060.410499999998</v>
      </c>
      <c r="D45" s="4" t="str">
        <f t="shared" si="3"/>
        <v>vis</v>
      </c>
      <c r="E45" s="23">
        <f>VLOOKUP(C45,Active!C$21:E$970,3,FALSE)</f>
        <v>20470.978817098865</v>
      </c>
      <c r="F45" s="5" t="s">
        <v>53</v>
      </c>
      <c r="G45" s="4" t="str">
        <f t="shared" si="4"/>
        <v>55060.4105</v>
      </c>
      <c r="H45" s="3">
        <f t="shared" si="5"/>
        <v>20471</v>
      </c>
      <c r="I45" s="24" t="s">
        <v>158</v>
      </c>
      <c r="J45" s="25" t="s">
        <v>159</v>
      </c>
      <c r="K45" s="24" t="s">
        <v>160</v>
      </c>
      <c r="L45" s="24" t="s">
        <v>161</v>
      </c>
      <c r="M45" s="25" t="s">
        <v>154</v>
      </c>
      <c r="N45" s="25" t="s">
        <v>155</v>
      </c>
      <c r="O45" s="26" t="s">
        <v>143</v>
      </c>
      <c r="P45" s="27" t="s">
        <v>162</v>
      </c>
    </row>
    <row r="46" spans="1:16" ht="12.75" customHeight="1" thickBot="1" x14ac:dyDescent="0.25">
      <c r="A46" s="3" t="str">
        <f t="shared" si="0"/>
        <v>OEJV 0137 </v>
      </c>
      <c r="B46" s="5" t="str">
        <f t="shared" si="1"/>
        <v>I</v>
      </c>
      <c r="C46" s="3">
        <f t="shared" si="2"/>
        <v>55481.273399999998</v>
      </c>
      <c r="D46" s="4" t="str">
        <f t="shared" si="3"/>
        <v>vis</v>
      </c>
      <c r="E46" s="23" t="e">
        <f>VLOOKUP(C46,Active!C$21:E$970,3,FALSE)</f>
        <v>#N/A</v>
      </c>
      <c r="F46" s="5" t="s">
        <v>53</v>
      </c>
      <c r="G46" s="4" t="str">
        <f t="shared" si="4"/>
        <v>55481.2734</v>
      </c>
      <c r="H46" s="3">
        <f t="shared" si="5"/>
        <v>20759</v>
      </c>
      <c r="I46" s="24" t="s">
        <v>163</v>
      </c>
      <c r="J46" s="25" t="s">
        <v>164</v>
      </c>
      <c r="K46" s="24" t="s">
        <v>165</v>
      </c>
      <c r="L46" s="24" t="s">
        <v>166</v>
      </c>
      <c r="M46" s="25" t="s">
        <v>154</v>
      </c>
      <c r="N46" s="25" t="s">
        <v>167</v>
      </c>
      <c r="O46" s="26" t="s">
        <v>168</v>
      </c>
      <c r="P46" s="27" t="s">
        <v>169</v>
      </c>
    </row>
    <row r="47" spans="1:16" ht="12.75" customHeight="1" thickBot="1" x14ac:dyDescent="0.25">
      <c r="A47" s="3" t="str">
        <f t="shared" si="0"/>
        <v>OEJV 0137 </v>
      </c>
      <c r="B47" s="5" t="str">
        <f t="shared" si="1"/>
        <v>I</v>
      </c>
      <c r="C47" s="3">
        <f t="shared" si="2"/>
        <v>55481.273500000003</v>
      </c>
      <c r="D47" s="4" t="str">
        <f t="shared" si="3"/>
        <v>vis</v>
      </c>
      <c r="E47" s="23" t="e">
        <f>VLOOKUP(C47,Active!C$21:E$970,3,FALSE)</f>
        <v>#N/A</v>
      </c>
      <c r="F47" s="5" t="s">
        <v>53</v>
      </c>
      <c r="G47" s="4" t="str">
        <f t="shared" si="4"/>
        <v>55481.2735</v>
      </c>
      <c r="H47" s="3">
        <f t="shared" si="5"/>
        <v>20759</v>
      </c>
      <c r="I47" s="24" t="s">
        <v>170</v>
      </c>
      <c r="J47" s="25" t="s">
        <v>164</v>
      </c>
      <c r="K47" s="24" t="s">
        <v>165</v>
      </c>
      <c r="L47" s="24" t="s">
        <v>171</v>
      </c>
      <c r="M47" s="25" t="s">
        <v>154</v>
      </c>
      <c r="N47" s="25" t="s">
        <v>37</v>
      </c>
      <c r="O47" s="26" t="s">
        <v>168</v>
      </c>
      <c r="P47" s="27" t="s">
        <v>169</v>
      </c>
    </row>
    <row r="48" spans="1:16" ht="12.75" customHeight="1" thickBot="1" x14ac:dyDescent="0.25">
      <c r="A48" s="3" t="str">
        <f t="shared" si="0"/>
        <v>OEJV 0137 </v>
      </c>
      <c r="B48" s="5" t="str">
        <f t="shared" si="1"/>
        <v>I</v>
      </c>
      <c r="C48" s="3">
        <f t="shared" si="2"/>
        <v>55481.2736</v>
      </c>
      <c r="D48" s="4" t="str">
        <f t="shared" si="3"/>
        <v>vis</v>
      </c>
      <c r="E48" s="23" t="e">
        <f>VLOOKUP(C48,Active!C$21:E$970,3,FALSE)</f>
        <v>#N/A</v>
      </c>
      <c r="F48" s="5" t="s">
        <v>53</v>
      </c>
      <c r="G48" s="4" t="str">
        <f t="shared" si="4"/>
        <v>55481.2736</v>
      </c>
      <c r="H48" s="3">
        <f t="shared" si="5"/>
        <v>20759</v>
      </c>
      <c r="I48" s="24" t="s">
        <v>172</v>
      </c>
      <c r="J48" s="25" t="s">
        <v>164</v>
      </c>
      <c r="K48" s="24" t="s">
        <v>165</v>
      </c>
      <c r="L48" s="24" t="s">
        <v>173</v>
      </c>
      <c r="M48" s="25" t="s">
        <v>154</v>
      </c>
      <c r="N48" s="25" t="s">
        <v>53</v>
      </c>
      <c r="O48" s="26" t="s">
        <v>168</v>
      </c>
      <c r="P48" s="27" t="s">
        <v>169</v>
      </c>
    </row>
    <row r="49" spans="2:6" x14ac:dyDescent="0.2">
      <c r="B49" s="5"/>
      <c r="E49" s="23"/>
      <c r="F49" s="5"/>
    </row>
    <row r="50" spans="2:6" x14ac:dyDescent="0.2">
      <c r="B50" s="5"/>
      <c r="E50" s="23"/>
      <c r="F50" s="5"/>
    </row>
    <row r="51" spans="2:6" x14ac:dyDescent="0.2">
      <c r="B51" s="5"/>
      <c r="E51" s="23"/>
      <c r="F51" s="5"/>
    </row>
    <row r="52" spans="2:6" x14ac:dyDescent="0.2">
      <c r="B52" s="5"/>
      <c r="E52" s="23"/>
      <c r="F52" s="5"/>
    </row>
    <row r="53" spans="2:6" x14ac:dyDescent="0.2">
      <c r="B53" s="5"/>
      <c r="E53" s="23"/>
      <c r="F53" s="5"/>
    </row>
    <row r="54" spans="2:6" x14ac:dyDescent="0.2">
      <c r="B54" s="5"/>
      <c r="E54" s="23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</sheetData>
  <phoneticPr fontId="7" type="noConversion"/>
  <hyperlinks>
    <hyperlink ref="P11" r:id="rId1" display="http://www.bav-astro.de/sfs/BAVM_link.php?BAVMnr=152" xr:uid="{00000000-0004-0000-0100-000000000000}"/>
    <hyperlink ref="P12" r:id="rId2" display="http://www.bav-astro.de/sfs/BAVM_link.php?BAVMnr=183" xr:uid="{00000000-0004-0000-0100-000001000000}"/>
    <hyperlink ref="P45" r:id="rId3" display="http://www.bav-astro.de/sfs/BAVM_link.php?BAVMnr=212" xr:uid="{00000000-0004-0000-0100-000002000000}"/>
    <hyperlink ref="P46" r:id="rId4" display="http://var.astro.cz/oejv/issues/oejv0137.pdf" xr:uid="{00000000-0004-0000-0100-000003000000}"/>
    <hyperlink ref="P47" r:id="rId5" display="http://var.astro.cz/oejv/issues/oejv0137.pdf" xr:uid="{00000000-0004-0000-0100-000004000000}"/>
    <hyperlink ref="P48" r:id="rId6" display="http://var.astro.cz/oejv/issues/oejv0137.pdf" xr:uid="{00000000-0004-0000-0100-000005000000}"/>
    <hyperlink ref="P13" r:id="rId7" display="http://www.bav-astro.de/sfs/BAVM_link.php?BAVMnr=220" xr:uid="{00000000-0004-0000-0100-000006000000}"/>
    <hyperlink ref="P14" r:id="rId8" display="http://var.astro.cz/oejv/issues/oejv0160.pdf" xr:uid="{00000000-0004-0000-0100-000007000000}"/>
    <hyperlink ref="P15" r:id="rId9" display="http://var.astro.cz/oejv/issues/oejv0160.pdf" xr:uid="{00000000-0004-0000-0100-000008000000}"/>
    <hyperlink ref="P16" r:id="rId10" display="http://var.astro.cz/oejv/issues/oejv0160.pdf" xr:uid="{00000000-0004-0000-0100-00000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2024-07-20T03:41:46Z</dcterms:modified>
</cp:coreProperties>
</file>