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46B4A67-6421-4929-B826-4EB220F5F1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C17" i="1"/>
  <c r="Q21" i="1"/>
  <c r="C12" i="1"/>
  <c r="F15" i="1" l="1"/>
  <c r="C16" i="1"/>
  <c r="D18" i="1" s="1"/>
  <c r="C11" i="1"/>
  <c r="O22" i="1" l="1"/>
  <c r="S22" i="1" s="1"/>
  <c r="O21" i="1"/>
  <c r="S21" i="1" s="1"/>
  <c r="C15" i="1"/>
  <c r="F16" i="1" l="1"/>
  <c r="F17" i="1" s="1"/>
  <c r="C18" i="1"/>
  <c r="S19" i="1"/>
  <c r="F18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<sst xmlns="http://schemas.openxmlformats.org/spreadsheetml/2006/main" count="54" uniqueCount="51">
  <si>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</si>
  <si>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</si>
  <si>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</si>
  <si>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</si>
  <si>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</si>
  <si>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</si>
  <si>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</si>
  <si>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</si>
  <si>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</si>
  <si>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</si>
  <si>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</si>
  <si>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</si>
  <si>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</si>
  <si>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</si>
  <si>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</si>
  <si>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</si>
  <si>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</si>
  <si>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</si>
  <si>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</si>
  <si>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</si>
  <si>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</si>
  <si>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</si>
  <si>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</si>
  <si>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</si>
  <si>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</si>
  <si>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</si>
  <si>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</si>
  <si>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</si>
  <si>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</si>
  <si>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</si>
  <si>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</si>
  <si>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</si>
  <si>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</si>
  <si>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</si>
  <si>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</si>
  <si>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</si>
  <si>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</si>
  <si>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</si>
  <si>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</si>
  <si>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G1660-1173</t>
  </si>
  <si>
    <t>Vul</t>
  </si>
  <si>
    <t>VSX</t>
  </si>
  <si>
    <t>IBVS 6011</t>
  </si>
  <si>
    <t>I</t>
  </si>
  <si>
    <t>CCD</t>
  </si>
  <si>
    <t xml:space="preserve">Mag </t>
  </si>
  <si>
    <t>Next ToM-P</t>
  </si>
  <si>
    <t>Next ToM-S</t>
  </si>
  <si>
    <t>ASAS J210314+2115.2 / GSC 1660-1173</t>
  </si>
  <si>
    <t>EC / ESD</t>
  </si>
  <si>
    <t>12.437 (0.821)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</si>
</sst>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  <xf numFmtId="0" fontId="0" fillId="3" borderId="5" xfId="0" applyFill="1" applyBorder="1" applyAlignment="1">
      <alignment horizontal="right"/>
    </xf>
    <xf numFmtId="0" fontId="16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1660-1173 -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4F-407F-AE82-18233B0942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-2.0025002231705002E-3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4F-407F-AE82-18233B0942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4F-407F-AE82-18233B0942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4F-407F-AE82-18233B0942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4F-407F-AE82-18233B0942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4F-407F-AE82-18233B0942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4F-407F-AE82-18233B0942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-2.0025002231705002E-3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4F-407F-AE82-18233B09422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7124.5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4F-407F-AE82-18233B09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315680"/>
        <c:axId val="1"/>
      </c:scatterChart>
      <c:valAx>
        <c:axId val="73631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1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C63BE4-CDDC-80DD-A7EA-0BB84F689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1" t="s">
        <v>48</v>
      </c>
    </row>
    <row r="2" spans="1:7" s="6" customFormat="1" ht="12.95" customHeight="1" x14ac:dyDescent="0.2">
      <c r="A2" s="6" t="s">
        <v>24</v>
      </c>
      <c r="B2" s="33" t="s">
        <v>49</v>
      </c>
      <c r="C2" s="7"/>
      <c r="D2" s="8" t="s">
        <v>40</v>
      </c>
      <c r="E2" s="3" t="s">
        <v>39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38</v>
      </c>
      <c r="D4" s="11" t="s">
        <v>38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2">
        <v>52756.240000000224</v>
      </c>
      <c r="D7" s="13" t="s">
        <v>41</v>
      </c>
    </row>
    <row r="8" spans="1:7" s="6" customFormat="1" ht="12.95" customHeight="1" x14ac:dyDescent="0.2">
      <c r="A8" s="6" t="s">
        <v>3</v>
      </c>
      <c r="C8" s="32">
        <v>0.433645</v>
      </c>
      <c r="D8" s="13" t="s">
        <v>41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-2.810723872791775E-7</v>
      </c>
      <c r="D12" s="8"/>
      <c r="E12" s="34" t="s">
        <v>45</v>
      </c>
      <c r="F12" s="35" t="s">
        <v>50</v>
      </c>
    </row>
    <row r="13" spans="1:7" s="6" customFormat="1" ht="12.95" customHeight="1" x14ac:dyDescent="0.2">
      <c r="A13" s="6" t="s">
        <v>19</v>
      </c>
      <c r="C13" s="8" t="s">
        <v>13</v>
      </c>
      <c r="D13" s="19"/>
      <c r="E13" s="36" t="s">
        <v>35</v>
      </c>
      <c r="F13" s="37">
        <v>1</v>
      </c>
    </row>
    <row r="14" spans="1:7" s="6" customFormat="1" ht="12.95" customHeight="1" x14ac:dyDescent="0.2">
      <c r="D14" s="19"/>
      <c r="E14" s="36" t="s">
        <v>32</v>
      </c>
      <c r="F14" s="38">
        <f ca="1">NOW()+15018.5+$C$9/24</f>
        <v>60511.660970370365</v>
      </c>
    </row>
    <row r="15" spans="1:7" s="6" customFormat="1" ht="12.95" customHeight="1" x14ac:dyDescent="0.2">
      <c r="A15" s="20" t="s">
        <v>17</v>
      </c>
      <c r="C15" s="21">
        <f ca="1">(C7+C11)+(C8+C12)*INT(MAX(F21:F3533))</f>
        <v>55845.52497764054</v>
      </c>
      <c r="D15" s="19"/>
      <c r="E15" s="36" t="s">
        <v>36</v>
      </c>
      <c r="F15" s="38">
        <f ca="1">ROUND(2*($F$14-$C$7)/$C$8,0)/2+$F$13</f>
        <v>17885.5</v>
      </c>
    </row>
    <row r="16" spans="1:7" s="6" customFormat="1" ht="12.95" customHeight="1" x14ac:dyDescent="0.2">
      <c r="A16" s="9" t="s">
        <v>4</v>
      </c>
      <c r="C16" s="22">
        <f ca="1">+C8+C12</f>
        <v>0.43364471892761275</v>
      </c>
      <c r="D16" s="19"/>
      <c r="E16" s="36" t="s">
        <v>37</v>
      </c>
      <c r="F16" s="38">
        <f ca="1">ROUND(2*($F$14-$C$15)/$C$16,0)/2+$F$13</f>
        <v>10761.5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/>
      <c r="E17" s="39" t="s">
        <v>46</v>
      </c>
      <c r="F17" s="40">
        <f ca="1">+$C$15+$C$16*$F$16-15018.5-$C$9/24</f>
        <v>45494.088453713382</v>
      </c>
    </row>
    <row r="18" spans="1:19" s="6" customFormat="1" ht="12.95" customHeight="1" thickTop="1" thickBot="1" x14ac:dyDescent="0.25">
      <c r="A18" s="9" t="s">
        <v>5</v>
      </c>
      <c r="C18" s="23">
        <f ca="1">+C15</f>
        <v>55845.52497764054</v>
      </c>
      <c r="D18" s="24">
        <f ca="1">+C16</f>
        <v>0.43364471892761275</v>
      </c>
      <c r="E18" s="42" t="s">
        <v>47</v>
      </c>
      <c r="F18" s="41">
        <f ca="1">+($C$15+$C$16*$F$16)-($C$16/2)-15018.5-$C$9/24</f>
        <v>45493.871631353919</v>
      </c>
    </row>
    <row r="19" spans="1:19" s="6" customFormat="1" ht="12.95" customHeight="1" thickTop="1" x14ac:dyDescent="0.2">
      <c r="A19" s="25" t="s">
        <v>33</v>
      </c>
      <c r="E19" s="26">
        <v>21</v>
      </c>
      <c r="S19" s="6">
        <f ca="1">SQRT(SUM(S21:S50)/(COUNT(S21:S50)-1))</f>
        <v>0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7" t="str">
        <f>A21</f>
        <v>VSX</v>
      </c>
      <c r="I20" s="27" t="s">
        <v>44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6" t="s">
        <v>14</v>
      </c>
      <c r="R20" s="29" t="s">
        <v>34</v>
      </c>
    </row>
    <row r="21" spans="1:19" s="6" customFormat="1" ht="12.95" customHeight="1" x14ac:dyDescent="0.2">
      <c r="A21" s="6" t="str">
        <f>D7</f>
        <v>VSX</v>
      </c>
      <c r="C21" s="12">
        <f>C$7</f>
        <v>52756.240000000224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37737.740000000224</v>
      </c>
      <c r="S21" s="6">
        <f ca="1">+(O21-G21)^2</f>
        <v>0</v>
      </c>
    </row>
    <row r="22" spans="1:19" s="6" customFormat="1" ht="12.95" customHeight="1" x14ac:dyDescent="0.2">
      <c r="A22" s="4" t="s">
        <v>42</v>
      </c>
      <c r="B22" s="5" t="s">
        <v>43</v>
      </c>
      <c r="C22" s="4">
        <v>55845.741800000003</v>
      </c>
      <c r="D22" s="4">
        <v>2.9999999999999997E-4</v>
      </c>
      <c r="E22" s="6">
        <f>+(C22-C$7)/C$8</f>
        <v>7124.4953821669333</v>
      </c>
      <c r="F22" s="6">
        <f>ROUND(2*E22,0)/2</f>
        <v>7124.5</v>
      </c>
      <c r="G22" s="6">
        <f>+C22-(C$7+F22*C$8)</f>
        <v>-2.0025002231705002E-3</v>
      </c>
      <c r="I22" s="6">
        <f>+G22</f>
        <v>-2.0025002231705002E-3</v>
      </c>
      <c r="O22" s="6">
        <f ca="1">+C$11+C$12*$F22</f>
        <v>-2.0025002231705002E-3</v>
      </c>
      <c r="Q22" s="30">
        <f>+C22-15018.5</f>
        <v>40827.241800000003</v>
      </c>
      <c r="S22" s="6">
        <f ca="1">+(O22-G22)^2</f>
        <v>0</v>
      </c>
    </row>
    <row r="23" spans="1:19" s="6" customFormat="1" ht="12.95" customHeight="1" x14ac:dyDescent="0.2">
      <c r="C23" s="12"/>
      <c r="D23" s="12"/>
      <c r="Q23" s="30"/>
    </row>
    <row r="24" spans="1:19" s="6" customFormat="1" ht="12.95" customHeight="1" x14ac:dyDescent="0.2">
      <c r="C24" s="12"/>
      <c r="D24" s="12"/>
      <c r="Q24" s="30"/>
    </row>
    <row r="25" spans="1:19" s="6" customFormat="1" ht="12.95" customHeight="1" x14ac:dyDescent="0.2">
      <c r="C25" s="12"/>
      <c r="D25" s="12"/>
      <c r="Q25" s="30"/>
    </row>
    <row r="26" spans="1:19" s="6" customFormat="1" ht="12.95" customHeight="1" x14ac:dyDescent="0.2">
      <c r="C26" s="12"/>
      <c r="D26" s="12"/>
      <c r="Q26" s="30"/>
    </row>
    <row r="27" spans="1:19" s="6" customFormat="1" ht="12.95" customHeight="1" x14ac:dyDescent="0.2">
      <c r="C27" s="12"/>
      <c r="D27" s="12"/>
      <c r="Q27" s="30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2024-07-20T03:51:47Z</dcterms:modified>
</cp:coreProperties>
</file>