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6A5973B-F493-4D27-BB74-D699247A15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C17" i="1" s="1"/>
  <c r="A21" i="1"/>
  <c r="E25" i="1"/>
  <c r="F25" i="1"/>
  <c r="G25" i="1" s="1"/>
  <c r="J25" i="1" s="1"/>
  <c r="F11" i="1"/>
  <c r="Q25" i="1"/>
  <c r="E23" i="1"/>
  <c r="F23" i="1" s="1"/>
  <c r="G23" i="1" s="1"/>
  <c r="J23" i="1" s="1"/>
  <c r="E24" i="1"/>
  <c r="F24" i="1" s="1"/>
  <c r="G24" i="1" s="1"/>
  <c r="J24" i="1" s="1"/>
  <c r="E22" i="1"/>
  <c r="F22" i="1" s="1"/>
  <c r="G22" i="1" s="1"/>
  <c r="J22" i="1" s="1"/>
  <c r="G11" i="1"/>
  <c r="Q23" i="1"/>
  <c r="Q24" i="1"/>
  <c r="Q22" i="1"/>
  <c r="E14" i="1"/>
  <c r="C11" i="1"/>
  <c r="E15" i="1" l="1"/>
  <c r="C12" i="1"/>
  <c r="O21" i="1" l="1"/>
  <c r="C16" i="1"/>
  <c r="D18" i="1" s="1"/>
  <c r="O25" i="1"/>
  <c r="O23" i="1"/>
  <c r="C15" i="1"/>
  <c r="O24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<sst xmlns="http://schemas.openxmlformats.org/spreadsheetml/2006/main" count="56" uniqueCount="52">
  <si>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</si>
  <si>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</si>
  <si>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</si>
  <si>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</si>
  <si>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</si>
  <si>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</si>
  <si>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</si>
  <si>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</si>
  <si>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</si>
  <si>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</si>
  <si>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</si>
  <si>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</si>
  <si>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</si>
  <si>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</si>
  <si>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</si>
  <si>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</si>
  <si>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</si>
  <si>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</si>
  <si>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</si>
  <si>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</si>
  <si>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</si>
  <si>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</si>
  <si>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</si>
  <si>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</si>
  <si>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</si>
  <si>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</si>
  <si>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</si>
  <si>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</si>
  <si>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</si>
  <si>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</si>
  <si>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</si>
  <si>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</si>
  <si>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</si>
  <si>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</si>
  <si>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</si>
  <si>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</si>
  <si>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</si>
  <si>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</si>
  <si>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</si>
  <si>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</si>
  <si>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EA</t>
  </si>
  <si>
    <t>IBVS 5960</t>
  </si>
  <si>
    <t>I</t>
  </si>
  <si>
    <t>IBVS 6011</t>
  </si>
  <si>
    <t>II</t>
  </si>
  <si>
    <t>OEJV 0137</t>
  </si>
  <si>
    <t>VSX</t>
  </si>
  <si>
    <t>DZ Vul / GSC 4010-0212</t>
  </si>
  <si>
    <t>IBVS 6092</t>
  </si>
  <si>
    <t>PE?</t>
  </si>
  <si>
    <t>CCD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</si>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</sst>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DZ Vul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4-4F6D-BD75-FE0E023BE5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54-4F6D-BD75-FE0E023BE5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-1.5459999995073304E-3</c:v>
                </c:pt>
                <c:pt idx="2">
                  <c:v>-1.0250000050291419E-3</c:v>
                </c:pt>
                <c:pt idx="3">
                  <c:v>-9.4000002718530595E-5</c:v>
                </c:pt>
                <c:pt idx="4">
                  <c:v>-2.3750000036670826E-3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54-4F6D-BD75-FE0E023BE5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54-4F6D-BD75-FE0E023BE5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54-4F6D-BD75-FE0E023BE5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54-4F6D-BD75-FE0E023BE5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54-4F6D-BD75-FE0E023BE5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1.1211545475937586E-4</c:v>
                </c:pt>
                <c:pt idx="1">
                  <c:v>-1.1631696712755173E-3</c:v>
                </c:pt>
                <c:pt idx="2">
                  <c:v>-1.1788862133217219E-3</c:v>
                </c:pt>
                <c:pt idx="3">
                  <c:v>-1.2943903239152578E-3</c:v>
                </c:pt>
                <c:pt idx="4">
                  <c:v>-1.5156692571689648E-3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54-4F6D-BD75-FE0E023BE5D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2556</c:v>
                </c:pt>
                <c:pt idx="2">
                  <c:v>2587.5</c:v>
                </c:pt>
                <c:pt idx="3">
                  <c:v>2819</c:v>
                </c:pt>
                <c:pt idx="4">
                  <c:v>3262.5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54-4F6D-BD75-FE0E023BE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530576"/>
        <c:axId val="1"/>
      </c:scatterChart>
      <c:valAx>
        <c:axId val="65153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530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71428571428571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ED7208-41AC-6F54-EBC9-E1532280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2" t="s">
        <v>47</v>
      </c>
    </row>
    <row r="2" spans="1:7" s="5" customFormat="1" ht="12.95" customHeight="1" x14ac:dyDescent="0.2">
      <c r="A2" s="5" t="s">
        <v>23</v>
      </c>
      <c r="B2" s="5" t="s">
        <v>40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3">
        <v>51353.847000000002</v>
      </c>
      <c r="D7" s="10" t="s">
        <v>46</v>
      </c>
    </row>
    <row r="8" spans="1:7" s="5" customFormat="1" ht="12.95" customHeight="1" x14ac:dyDescent="0.2">
      <c r="A8" s="5" t="s">
        <v>3</v>
      </c>
      <c r="C8" s="34">
        <v>1.5941259999999999</v>
      </c>
      <c r="D8" s="10" t="s">
        <v>46</v>
      </c>
    </row>
    <row r="9" spans="1:7" s="5" customFormat="1" ht="12.95" customHeight="1" x14ac:dyDescent="0.2">
      <c r="A9" s="11" t="s">
        <v>29</v>
      </c>
      <c r="C9" s="12">
        <v>-9.5</v>
      </c>
      <c r="D9" s="5" t="s">
        <v>30</v>
      </c>
    </row>
    <row r="10" spans="1:7" s="5" customFormat="1" ht="12.95" customHeight="1" thickBot="1" x14ac:dyDescent="0.25">
      <c r="C10" s="13" t="s">
        <v>19</v>
      </c>
      <c r="D10" s="13" t="s">
        <v>20</v>
      </c>
    </row>
    <row r="11" spans="1:7" s="5" customFormat="1" ht="12.95" customHeight="1" x14ac:dyDescent="0.2">
      <c r="A11" s="5" t="s">
        <v>15</v>
      </c>
      <c r="C11" s="14">
        <f ca="1">INTERCEPT(INDIRECT($G$11):G991,INDIRECT($F$11):F991)</f>
        <v>1.1211545475937586E-4</v>
      </c>
      <c r="D11" s="6"/>
      <c r="F11" s="15" t="str">
        <f>"F"&amp;E19</f>
        <v>F21</v>
      </c>
      <c r="G11" s="14" t="str">
        <f>"G"&amp;E19</f>
        <v>G21</v>
      </c>
    </row>
    <row r="12" spans="1:7" s="5" customFormat="1" ht="12.95" customHeight="1" x14ac:dyDescent="0.2">
      <c r="A12" s="5" t="s">
        <v>16</v>
      </c>
      <c r="C12" s="14">
        <f ca="1">SLOPE(INDIRECT($G$11):G991,INDIRECT($F$11):F991)</f>
        <v>-4.9893784273665614E-7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6" t="s">
        <v>36</v>
      </c>
      <c r="E13" s="12">
        <v>1</v>
      </c>
    </row>
    <row r="14" spans="1:7" s="5" customFormat="1" ht="12.95" customHeight="1" x14ac:dyDescent="0.2">
      <c r="D14" s="16" t="s">
        <v>31</v>
      </c>
      <c r="E14" s="17">
        <f ca="1">NOW()+15018.5+$C$9/24</f>
        <v>60379.623311111107</v>
      </c>
    </row>
    <row r="15" spans="1:7" s="5" customFormat="1" ht="12.95" customHeight="1" x14ac:dyDescent="0.2">
      <c r="A15" s="18" t="s">
        <v>17</v>
      </c>
      <c r="C15" s="19">
        <f ca="1">(C7+C11)+(C8+C12)*INT(MAX(F21:F3532))</f>
        <v>56553.884496580213</v>
      </c>
      <c r="D15" s="16" t="s">
        <v>37</v>
      </c>
      <c r="E15" s="17">
        <f ca="1">ROUND(2*(E14-$C$7)/$C$8,0)/2+E13</f>
        <v>5663</v>
      </c>
    </row>
    <row r="16" spans="1:7" s="5" customFormat="1" ht="12.95" customHeight="1" x14ac:dyDescent="0.2">
      <c r="A16" s="7" t="s">
        <v>4</v>
      </c>
      <c r="C16" s="20">
        <f ca="1">+C8+C12</f>
        <v>1.5941255010621571</v>
      </c>
      <c r="D16" s="16" t="s">
        <v>38</v>
      </c>
      <c r="E16" s="14">
        <f ca="1">ROUND(2*(E14-$C$15)/$C$16,0)/2+E13</f>
        <v>2401</v>
      </c>
    </row>
    <row r="17" spans="1:23" s="5" customFormat="1" ht="12.95" customHeight="1" thickBot="1" x14ac:dyDescent="0.25">
      <c r="A17" s="16" t="s">
        <v>28</v>
      </c>
      <c r="C17" s="5">
        <f>COUNT(C21:C2190)</f>
        <v>5</v>
      </c>
      <c r="D17" s="16" t="s">
        <v>32</v>
      </c>
      <c r="E17" s="21">
        <f ca="1">+$C$15+$C$16*E16-15018.5-$C$9/24</f>
        <v>45363.275657963786</v>
      </c>
    </row>
    <row r="18" spans="1:23" s="5" customFormat="1" ht="12.95" customHeight="1" thickTop="1" thickBot="1" x14ac:dyDescent="0.25">
      <c r="A18" s="7" t="s">
        <v>5</v>
      </c>
      <c r="C18" s="22">
        <f ca="1">+C15</f>
        <v>56553.884496580213</v>
      </c>
      <c r="D18" s="23">
        <f ca="1">+C16</f>
        <v>1.5941255010621571</v>
      </c>
      <c r="E18" s="24" t="s">
        <v>33</v>
      </c>
    </row>
    <row r="19" spans="1:23" s="5" customFormat="1" ht="12.95" customHeight="1" thickTop="1" x14ac:dyDescent="0.2">
      <c r="A19" s="25" t="s">
        <v>34</v>
      </c>
      <c r="E19" s="26">
        <v>21</v>
      </c>
    </row>
    <row r="20" spans="1:23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46</v>
      </c>
      <c r="I20" s="27" t="s">
        <v>49</v>
      </c>
      <c r="J20" s="27" t="s">
        <v>50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14</v>
      </c>
      <c r="R20" s="29" t="s">
        <v>35</v>
      </c>
    </row>
    <row r="21" spans="1:23" s="5" customFormat="1" ht="12.95" customHeight="1" x14ac:dyDescent="0.2">
      <c r="A21" s="5" t="str">
        <f>$D$7</f>
        <v>VSX</v>
      </c>
      <c r="C21" s="10">
        <f>$C$7</f>
        <v>51353.847000000002</v>
      </c>
      <c r="D21" s="10"/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1.1211545475937586E-4</v>
      </c>
      <c r="Q21" s="30">
        <f>+C21-15018.5</f>
        <v>36335.347000000002</v>
      </c>
    </row>
    <row r="22" spans="1:23" s="5" customFormat="1" ht="12.95" customHeight="1" x14ac:dyDescent="0.2">
      <c r="A22" s="2" t="s">
        <v>45</v>
      </c>
      <c r="B22" s="3" t="s">
        <v>42</v>
      </c>
      <c r="C22" s="2">
        <v>55428.431510000002</v>
      </c>
      <c r="D22" s="2">
        <v>1.6000000000000001E-3</v>
      </c>
      <c r="E22" s="5">
        <f>+(C22-C$7)/C$8</f>
        <v>2555.9990301895841</v>
      </c>
      <c r="F22" s="5">
        <f>ROUND(2*E22,0)/2</f>
        <v>2556</v>
      </c>
      <c r="G22" s="5">
        <f>+C22-(C$7+F22*C$8)</f>
        <v>-1.5459999995073304E-3</v>
      </c>
      <c r="J22" s="5">
        <f>+G22</f>
        <v>-1.5459999995073304E-3</v>
      </c>
      <c r="O22" s="5">
        <f ca="1">+C$11+C$12*$F22</f>
        <v>-1.1631696712755173E-3</v>
      </c>
      <c r="Q22" s="30">
        <f>+C22-15018.5</f>
        <v>40409.931510000002</v>
      </c>
    </row>
    <row r="23" spans="1:23" s="5" customFormat="1" ht="12.95" customHeight="1" x14ac:dyDescent="0.2">
      <c r="A23" s="2" t="s">
        <v>41</v>
      </c>
      <c r="B23" s="3" t="s">
        <v>42</v>
      </c>
      <c r="C23" s="2">
        <v>55478.646999999997</v>
      </c>
      <c r="D23" s="2">
        <v>4.0000000000000002E-4</v>
      </c>
      <c r="E23" s="5">
        <f>+(C23-C$7)/C$8</f>
        <v>2587.4993570144366</v>
      </c>
      <c r="F23" s="5">
        <f>ROUND(2*E23,0)/2</f>
        <v>2587.5</v>
      </c>
      <c r="G23" s="5">
        <f>+C23-(C$7+F23*C$8)</f>
        <v>-1.0250000050291419E-3</v>
      </c>
      <c r="J23" s="5">
        <f>+G23</f>
        <v>-1.0250000050291419E-3</v>
      </c>
      <c r="O23" s="5">
        <f ca="1">+C$11+C$12*$F23</f>
        <v>-1.1788862133217219E-3</v>
      </c>
      <c r="Q23" s="30">
        <f>+C23-15018.5</f>
        <v>40460.146999999997</v>
      </c>
    </row>
    <row r="24" spans="1:23" s="5" customFormat="1" ht="12.95" customHeight="1" x14ac:dyDescent="0.2">
      <c r="A24" s="2" t="s">
        <v>43</v>
      </c>
      <c r="B24" s="3" t="s">
        <v>44</v>
      </c>
      <c r="C24" s="2">
        <v>55847.688099999999</v>
      </c>
      <c r="D24" s="2">
        <v>4.0000000000000002E-4</v>
      </c>
      <c r="E24" s="5">
        <f>+(C24-C$7)/C$8</f>
        <v>2818.9999410335181</v>
      </c>
      <c r="F24" s="5">
        <f>ROUND(2*E24,0)/2</f>
        <v>2819</v>
      </c>
      <c r="G24" s="5">
        <f>+C24-(C$7+F24*C$8)</f>
        <v>-9.4000002718530595E-5</v>
      </c>
      <c r="J24" s="5">
        <f>+G24</f>
        <v>-9.4000002718530595E-5</v>
      </c>
      <c r="O24" s="5">
        <f ca="1">+C$11+C$12*$F24</f>
        <v>-1.2943903239152578E-3</v>
      </c>
      <c r="Q24" s="30">
        <f>+C24-15018.5</f>
        <v>40829.188099999999</v>
      </c>
    </row>
    <row r="25" spans="1:23" s="5" customFormat="1" ht="12.95" customHeight="1" x14ac:dyDescent="0.2">
      <c r="A25" s="4" t="s">
        <v>48</v>
      </c>
      <c r="B25" s="31"/>
      <c r="C25" s="2">
        <v>56554.680699999997</v>
      </c>
      <c r="D25" s="2">
        <v>2.9999999999999997E-4</v>
      </c>
      <c r="E25" s="5">
        <f>+(C25-C$7)/C$8</f>
        <v>3262.4985101554053</v>
      </c>
      <c r="F25" s="5">
        <f>ROUND(2*E25,0)/2</f>
        <v>3262.5</v>
      </c>
      <c r="G25" s="5">
        <f>+C25-(C$7+F25*C$8)</f>
        <v>-2.3750000036670826E-3</v>
      </c>
      <c r="J25" s="5">
        <f>+G25</f>
        <v>-2.3750000036670826E-3</v>
      </c>
      <c r="O25" s="5">
        <f ca="1">+C$11+C$12*$F25</f>
        <v>-1.5156692571689648E-3</v>
      </c>
      <c r="Q25" s="30">
        <f>+C25-15018.5</f>
        <v>41536.180699999997</v>
      </c>
      <c r="W25" s="31" t="s">
        <v>51</v>
      </c>
    </row>
    <row r="26" spans="1:23" s="5" customFormat="1" ht="12.95" customHeight="1" x14ac:dyDescent="0.2">
      <c r="C26" s="10"/>
      <c r="D26" s="10"/>
      <c r="Q26" s="30"/>
    </row>
    <row r="27" spans="1:23" s="5" customFormat="1" ht="12.95" customHeight="1" x14ac:dyDescent="0.2">
      <c r="C27" s="10"/>
      <c r="D27" s="10"/>
      <c r="Q27" s="30"/>
    </row>
    <row r="28" spans="1:23" s="5" customFormat="1" ht="12.95" customHeight="1" x14ac:dyDescent="0.2">
      <c r="C28" s="10"/>
      <c r="D28" s="10"/>
      <c r="Q28" s="30"/>
    </row>
    <row r="29" spans="1:23" s="5" customFormat="1" ht="12.95" customHeight="1" x14ac:dyDescent="0.2">
      <c r="C29" s="10"/>
      <c r="D29" s="10"/>
      <c r="Q29" s="30"/>
    </row>
    <row r="30" spans="1:23" s="5" customFormat="1" ht="12.95" customHeight="1" x14ac:dyDescent="0.2">
      <c r="C30" s="10"/>
      <c r="D30" s="10"/>
      <c r="Q30" s="30"/>
    </row>
    <row r="31" spans="1:23" s="5" customFormat="1" ht="12.95" customHeight="1" x14ac:dyDescent="0.2">
      <c r="C31" s="10"/>
      <c r="D31" s="10"/>
      <c r="Q31" s="30"/>
    </row>
    <row r="32" spans="1:23" s="5" customFormat="1" ht="12.95" customHeight="1" x14ac:dyDescent="0.2">
      <c r="C32" s="10"/>
      <c r="D32" s="10"/>
      <c r="Q32" s="30"/>
    </row>
    <row r="33" spans="3:4" s="5" customFormat="1" ht="12.95" customHeight="1" x14ac:dyDescent="0.2">
      <c r="C33" s="10"/>
      <c r="D33" s="10"/>
    </row>
    <row r="34" spans="3:4" s="5" customFormat="1" ht="12.95" customHeight="1" x14ac:dyDescent="0.2">
      <c r="C34" s="10"/>
      <c r="D34" s="10"/>
    </row>
    <row r="35" spans="3:4" s="5" customFormat="1" ht="12.95" customHeight="1" x14ac:dyDescent="0.2">
      <c r="C35" s="10"/>
      <c r="D35" s="10"/>
    </row>
    <row r="36" spans="3:4" s="5" customFormat="1" ht="12.95" customHeight="1" x14ac:dyDescent="0.2">
      <c r="C36" s="10"/>
      <c r="D36" s="10"/>
    </row>
    <row r="37" spans="3:4" s="5" customFormat="1" ht="12.95" customHeight="1" x14ac:dyDescent="0.2">
      <c r="C37" s="10"/>
      <c r="D37" s="10"/>
    </row>
    <row r="38" spans="3:4" s="5" customFormat="1" ht="12.95" customHeight="1" x14ac:dyDescent="0.2">
      <c r="C38" s="10"/>
      <c r="D38" s="10"/>
    </row>
    <row r="39" spans="3:4" s="5" customFormat="1" ht="12.95" customHeight="1" x14ac:dyDescent="0.2">
      <c r="C39" s="10"/>
      <c r="D39" s="10"/>
    </row>
    <row r="40" spans="3:4" s="5" customFormat="1" ht="12.95" customHeight="1" x14ac:dyDescent="0.2">
      <c r="C40" s="10"/>
      <c r="D40" s="10"/>
    </row>
    <row r="41" spans="3:4" s="5" customFormat="1" ht="12.95" customHeight="1" x14ac:dyDescent="0.2">
      <c r="C41" s="10"/>
      <c r="D41" s="10"/>
    </row>
    <row r="42" spans="3:4" s="5" customFormat="1" ht="12.95" customHeight="1" x14ac:dyDescent="0.2">
      <c r="C42" s="10"/>
      <c r="D42" s="10"/>
    </row>
    <row r="43" spans="3:4" s="5" customFormat="1" ht="12.95" customHeight="1" x14ac:dyDescent="0.2">
      <c r="C43" s="10"/>
      <c r="D43" s="10"/>
    </row>
    <row r="44" spans="3:4" s="5" customFormat="1" ht="12.95" customHeight="1" x14ac:dyDescent="0.2">
      <c r="C44" s="10"/>
      <c r="D44" s="10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sortState xmlns:xlrd2="http://schemas.microsoft.com/office/spreadsheetml/2017/richdata2" ref="A21:AJ27">
    <sortCondition ref="C21:C27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2024-03-10T01:57:34Z</dcterms:modified>
</cp:coreProperties>
</file>