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5ACE3B1-D970-42E3-8532-F48538F062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E45" i="1"/>
  <c r="F45" i="1"/>
  <c r="G45" i="1"/>
  <c r="K45" i="1"/>
  <c r="C8" i="1"/>
  <c r="E22" i="1"/>
  <c r="F22" i="1"/>
  <c r="G22" i="1"/>
  <c r="I22" i="1"/>
  <c r="E24" i="1"/>
  <c r="F24" i="1"/>
  <c r="G24" i="1"/>
  <c r="J24" i="1"/>
  <c r="E25" i="1"/>
  <c r="F25" i="1"/>
  <c r="G25" i="1"/>
  <c r="J25" i="1"/>
  <c r="E26" i="1"/>
  <c r="F26" i="1"/>
  <c r="G26" i="1"/>
  <c r="J26" i="1"/>
  <c r="E27" i="1"/>
  <c r="F27" i="1"/>
  <c r="G27" i="1"/>
  <c r="J27" i="1"/>
  <c r="E28" i="1"/>
  <c r="F28" i="1"/>
  <c r="G28" i="1"/>
  <c r="J28" i="1"/>
  <c r="E29" i="1"/>
  <c r="F29" i="1"/>
  <c r="G29" i="1"/>
  <c r="J29" i="1"/>
  <c r="E30" i="1"/>
  <c r="F30" i="1"/>
  <c r="G30" i="1"/>
  <c r="J30" i="1"/>
  <c r="E31" i="1"/>
  <c r="F31" i="1"/>
  <c r="G31" i="1"/>
  <c r="K31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E38" i="1"/>
  <c r="F38" i="1"/>
  <c r="G38" i="1"/>
  <c r="K38" i="1"/>
  <c r="E40" i="1"/>
  <c r="F40" i="1"/>
  <c r="G40" i="1"/>
  <c r="K40" i="1"/>
  <c r="E41" i="1"/>
  <c r="F41" i="1"/>
  <c r="G41" i="1"/>
  <c r="K41" i="1"/>
  <c r="E42" i="1"/>
  <c r="F42" i="1"/>
  <c r="G42" i="1"/>
  <c r="K42" i="1"/>
  <c r="E47" i="1"/>
  <c r="F47" i="1"/>
  <c r="G47" i="1"/>
  <c r="K47" i="1"/>
  <c r="E32" i="1"/>
  <c r="F32" i="1"/>
  <c r="E39" i="1"/>
  <c r="F39" i="1"/>
  <c r="D9" i="1"/>
  <c r="C9" i="1"/>
  <c r="Q43" i="1"/>
  <c r="Q44" i="1"/>
  <c r="Q45" i="1"/>
  <c r="Q46" i="1"/>
  <c r="G18" i="2"/>
  <c r="C18" i="2"/>
  <c r="E18" i="2"/>
  <c r="G22" i="2"/>
  <c r="C22" i="2"/>
  <c r="G21" i="2"/>
  <c r="C21" i="2"/>
  <c r="E21" i="2"/>
  <c r="G20" i="2"/>
  <c r="C20" i="2"/>
  <c r="G19" i="2"/>
  <c r="C19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8" i="2"/>
  <c r="B18" i="2"/>
  <c r="D18" i="2"/>
  <c r="A18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47" i="1"/>
  <c r="Q40" i="1"/>
  <c r="Q38" i="1"/>
  <c r="E21" i="1"/>
  <c r="F21" i="1"/>
  <c r="G21" i="1"/>
  <c r="H21" i="1"/>
  <c r="F14" i="1"/>
  <c r="F15" i="1" s="1"/>
  <c r="C17" i="1"/>
  <c r="Q39" i="1"/>
  <c r="Q31" i="1"/>
  <c r="Q41" i="1"/>
  <c r="Q37" i="1"/>
  <c r="Q42" i="1"/>
  <c r="Q33" i="1"/>
  <c r="Q34" i="1"/>
  <c r="Q36" i="1"/>
  <c r="Q32" i="1"/>
  <c r="Q35" i="1"/>
  <c r="Q30" i="1"/>
  <c r="Q23" i="1"/>
  <c r="Q24" i="1"/>
  <c r="Q25" i="1"/>
  <c r="Q26" i="1"/>
  <c r="Q29" i="1"/>
  <c r="Q22" i="1"/>
  <c r="Q27" i="1"/>
  <c r="Q28" i="1"/>
  <c r="Q21" i="1"/>
  <c r="E19" i="2"/>
  <c r="E44" i="1"/>
  <c r="F44" i="1"/>
  <c r="G44" i="1"/>
  <c r="K44" i="1"/>
  <c r="E46" i="1"/>
  <c r="F46" i="1"/>
  <c r="G46" i="1"/>
  <c r="K46" i="1"/>
  <c r="G43" i="1"/>
  <c r="K43" i="1"/>
  <c r="E23" i="1"/>
  <c r="F23" i="1"/>
  <c r="G23" i="1"/>
  <c r="E43" i="1"/>
  <c r="F43" i="1"/>
  <c r="J23" i="1"/>
  <c r="E22" i="2"/>
  <c r="E20" i="2"/>
  <c r="C12" i="1"/>
  <c r="C11" i="1"/>
  <c r="O27" i="1" l="1"/>
  <c r="O43" i="1"/>
  <c r="O40" i="1"/>
  <c r="O29" i="1"/>
  <c r="O47" i="1"/>
  <c r="O33" i="1"/>
  <c r="O37" i="1"/>
  <c r="O45" i="1"/>
  <c r="O46" i="1"/>
  <c r="O21" i="1"/>
  <c r="O26" i="1"/>
  <c r="O38" i="1"/>
  <c r="O41" i="1"/>
  <c r="C15" i="1"/>
  <c r="O34" i="1"/>
  <c r="O31" i="1"/>
  <c r="O25" i="1"/>
  <c r="O23" i="1"/>
  <c r="O35" i="1"/>
  <c r="O24" i="1"/>
  <c r="O44" i="1"/>
  <c r="O30" i="1"/>
  <c r="O42" i="1"/>
  <c r="O32" i="1"/>
  <c r="O39" i="1"/>
  <c r="O28" i="1"/>
  <c r="O36" i="1"/>
  <c r="O22" i="1"/>
  <c r="C16" i="1"/>
  <c r="D18" i="1" s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<sst xmlns="http://schemas.openxmlformats.org/spreadsheetml/2006/main" count="208" uniqueCount="137">
  <si>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</si>
  <si>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</si>
  <si>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</si>
  <si>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</si>
  <si>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</si>
  <si>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</si>
  <si>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</si>
  <si>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</si>
  <si>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</si>
  <si>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</si>
  <si>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</si>
  <si>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</si>
  <si>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</si>
  <si>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</si>
  <si>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</si>
  <si>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</si>
  <si>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</si>
  <si>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</si>
  <si>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</si>
  <si>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</si>
  <si>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</si>
  <si>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</si>
  <si>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</si>
  <si>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</si>
  <si>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</si>
  <si>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</si>
  <si>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</si>
  <si>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Diethelm R</t>
  </si>
  <si>
    <t>BBSAG Bull.49</t>
  </si>
  <si>
    <t>B</t>
  </si>
  <si>
    <t>BBSAG Bull.118</t>
  </si>
  <si>
    <t>Blaettler E</t>
  </si>
  <si>
    <t>IBVS 5263</t>
  </si>
  <si>
    <t>I</t>
  </si>
  <si>
    <t>IBVS 4887</t>
  </si>
  <si>
    <t>IBVS 4888</t>
  </si>
  <si>
    <t>IBVS 5602</t>
  </si>
  <si>
    <t>IBVS 5583</t>
  </si>
  <si>
    <t>IBVS 5594</t>
  </si>
  <si>
    <t>Eccentric orbit?</t>
  </si>
  <si>
    <t>IBVS 5643</t>
  </si>
  <si>
    <t>EB</t>
  </si>
  <si>
    <t># of data points:</t>
  </si>
  <si>
    <t>GI Vul / gsc 2147-2646</t>
  </si>
  <si>
    <t>IBVS 5731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</si>
  <si>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</si>
  <si>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</si>
  <si>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</si>
  <si>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</si>
  <si>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</si>
  <si>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IBVS 5820</t>
  </si>
  <si>
    <t>OEJV 0074</t>
  </si>
  <si>
    <t>CCD+I</t>
  </si>
  <si>
    <t>BAD</t>
  </si>
  <si>
    <t>Add cycle</t>
  </si>
  <si>
    <t>Old Cycle</t>
  </si>
  <si>
    <t>OEJV 0003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</si>
  <si>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</si>
  <si>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</si>
  <si>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</si>
  <si>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</si>
  <si>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</si>
  <si>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</si>
  <si>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</si>
  <si>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</si>
  <si>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</si>
  <si>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</si>
  <si>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</si>
  <si>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</si>
  <si>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2451783.34478 </t>
  </si>
  <si>
    <t> 26.08.2000 20:16 </t>
  </si>
  <si>
    <t> -0.01492 </t>
  </si>
  <si>
    <t>C </t>
  </si>
  <si>
    <t>o</t>
  </si>
  <si>
    <t> J.Safar </t>
  </si>
  <si>
    <t>OEJV 0074 </t>
  </si>
  <si>
    <t>2452767.4933 </t>
  </si>
  <si>
    <t> 07.05.2003 23:50 </t>
  </si>
  <si>
    <t> -0.0181 </t>
  </si>
  <si>
    <t>E </t>
  </si>
  <si>
    <t> W.Moschner &amp; P.Frank </t>
  </si>
  <si>
    <t>BAVM 172 </t>
  </si>
  <si>
    <t>2452876.5562 </t>
  </si>
  <si>
    <t> 25.08.2003 01:20 </t>
  </si>
  <si>
    <t> -0.0111 </t>
  </si>
  <si>
    <t> F.Agerer </t>
  </si>
  <si>
    <t>2453265.349 </t>
  </si>
  <si>
    <t> 16.09.2004 20:22 </t>
  </si>
  <si>
    <t> -0.016 </t>
  </si>
  <si>
    <t>V </t>
  </si>
  <si>
    <t> K.Locher </t>
  </si>
  <si>
    <t>OEJV 0003 </t>
  </si>
  <si>
    <t>2453587.462 </t>
  </si>
  <si>
    <t> 04.08.2005 23:05 </t>
  </si>
  <si>
    <t> -0.015 </t>
  </si>
  <si>
    <t>2453899.4606 </t>
  </si>
  <si>
    <t> 12.06.2006 23:03 </t>
  </si>
  <si>
    <t> -0.0178 </t>
  </si>
  <si>
    <t>-I</t>
  </si>
  <si>
    <t>BAVM 178 </t>
  </si>
  <si>
    <t>2454217.964 </t>
  </si>
  <si>
    <t> 27.04.2007 11:08 </t>
  </si>
  <si>
    <t>39776.5</t>
  </si>
  <si>
    <t>R</t>
  </si>
  <si>
    <t> R.Nelson </t>
  </si>
  <si>
    <t>IBVS 5820 </t>
  </si>
  <si>
    <t>2454339.5355 </t>
  </si>
  <si>
    <t> 27.08.2007 00:51 </t>
  </si>
  <si>
    <t>40029</t>
  </si>
  <si>
    <t> -0.0185 </t>
  </si>
  <si>
    <t>BAVM 193 </t>
  </si>
  <si>
    <t>2455797.4717 </t>
  </si>
  <si>
    <t> 23.08.2011 23:19 </t>
  </si>
  <si>
    <t>43057</t>
  </si>
  <si>
    <t> -0.0134 </t>
  </si>
  <si>
    <t>BAVM 225 </t>
  </si>
  <si>
    <t>2455801.3233 </t>
  </si>
  <si>
    <t> 27.08.2011 19:45 </t>
  </si>
  <si>
    <t>43065</t>
  </si>
  <si>
    <t> -0.0137 </t>
  </si>
  <si>
    <t>2455801.5670 </t>
  </si>
  <si>
    <t> 28.08.2011 01:36 </t>
  </si>
  <si>
    <t>43065.5</t>
  </si>
  <si>
    <t> -0.0107 </t>
  </si>
  <si>
    <t>2456905.3675 </t>
  </si>
  <si>
    <t> 04.09.2014 20:49 </t>
  </si>
  <si>
    <t>45358</t>
  </si>
  <si>
    <t> -0.0105 </t>
  </si>
  <si>
    <t>BAVM 239 </t>
  </si>
  <si>
    <t>II</t>
  </si>
  <si>
    <t>PE?</t>
  </si>
  <si>
    <t>S4</t>
  </si>
  <si>
    <t>VSX</t>
  </si>
  <si>
    <t>13.5-14.6</t>
  </si>
  <si>
    <t xml:space="preserve">Mag p 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</si>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</sst>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7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9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>
      <alignment vertical="top"/>
    </xf>
    <xf numFmtId="0" fontId="16" fillId="0" borderId="0" xfId="0" applyFont="1" applyAlignme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17" fillId="0" borderId="0" xfId="0" applyFont="1" applyAlignment="1"/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8" fillId="3" borderId="13" xfId="0" applyFont="1" applyFill="1" applyBorder="1" applyAlignment="1">
      <alignment horizontal="right" vertical="center"/>
    </xf>
    <xf numFmtId="0" fontId="8" fillId="3" borderId="14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right" vertical="center"/>
    </xf>
    <xf numFmtId="0" fontId="14" fillId="0" borderId="16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22" fontId="24" fillId="0" borderId="16" xfId="0" applyNumberFormat="1" applyFont="1" applyBorder="1" applyAlignment="1">
      <alignment vertical="center"/>
    </xf>
    <xf numFmtId="22" fontId="24" fillId="0" borderId="17" xfId="0" applyNumberFormat="1" applyFont="1" applyBorder="1" applyAlignment="1">
      <alignment vertical="center"/>
    </xf>
    <xf numFmtId="0" fontId="23" fillId="0" borderId="18" xfId="0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GI Vul - O-C Diagr.</a:t>
            </a:r>
          </a:p>
        </c:rich>
      </c:tx>
      <c:layout>
        <c:manualLayout>
          <c:xMode val="edge"/>
          <c:yMode val="edge"/>
          <c:x val="0.410419580652799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79423306602969"/>
          <c:y val="0.14723926380368099"/>
          <c:w val="0.83481627398365155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19513</c:v>
                </c:pt>
                <c:pt idx="2">
                  <c:v>32257</c:v>
                </c:pt>
                <c:pt idx="3">
                  <c:v>32313</c:v>
                </c:pt>
                <c:pt idx="4">
                  <c:v>32392</c:v>
                </c:pt>
                <c:pt idx="5">
                  <c:v>32984</c:v>
                </c:pt>
                <c:pt idx="6">
                  <c:v>33069</c:v>
                </c:pt>
                <c:pt idx="7">
                  <c:v>33181</c:v>
                </c:pt>
                <c:pt idx="8">
                  <c:v>33262</c:v>
                </c:pt>
                <c:pt idx="9">
                  <c:v>33848</c:v>
                </c:pt>
                <c:pt idx="10">
                  <c:v>34720</c:v>
                </c:pt>
                <c:pt idx="11">
                  <c:v>36221.5</c:v>
                </c:pt>
                <c:pt idx="12">
                  <c:v>36764</c:v>
                </c:pt>
                <c:pt idx="13">
                  <c:v>36990.5</c:v>
                </c:pt>
                <c:pt idx="14">
                  <c:v>37523</c:v>
                </c:pt>
                <c:pt idx="15">
                  <c:v>37601</c:v>
                </c:pt>
                <c:pt idx="16">
                  <c:v>37601</c:v>
                </c:pt>
                <c:pt idx="17">
                  <c:v>37798</c:v>
                </c:pt>
                <c:pt idx="18">
                  <c:v>38382</c:v>
                </c:pt>
                <c:pt idx="19">
                  <c:v>38467</c:v>
                </c:pt>
                <c:pt idx="20">
                  <c:v>39115</c:v>
                </c:pt>
                <c:pt idx="21">
                  <c:v>39776.5</c:v>
                </c:pt>
                <c:pt idx="22">
                  <c:v>40029</c:v>
                </c:pt>
                <c:pt idx="23">
                  <c:v>43057</c:v>
                </c:pt>
                <c:pt idx="24">
                  <c:v>43065</c:v>
                </c:pt>
                <c:pt idx="25">
                  <c:v>43065.5</c:v>
                </c:pt>
                <c:pt idx="26">
                  <c:v>45358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98-409A-8773-F4CECA5177E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  <c:pt idx="18">
                    <c:v>0</c:v>
                  </c:pt>
                  <c:pt idx="19">
                    <c:v>2E-3</c:v>
                  </c:pt>
                  <c:pt idx="20">
                    <c:v>6.9999999999999999E-4</c:v>
                  </c:pt>
                  <c:pt idx="21">
                    <c:v>1E-3</c:v>
                  </c:pt>
                  <c:pt idx="26">
                    <c:v>1.5E-3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  <c:pt idx="18">
                    <c:v>0</c:v>
                  </c:pt>
                  <c:pt idx="19">
                    <c:v>2E-3</c:v>
                  </c:pt>
                  <c:pt idx="20">
                    <c:v>6.9999999999999999E-4</c:v>
                  </c:pt>
                  <c:pt idx="21">
                    <c:v>1E-3</c:v>
                  </c:pt>
                  <c:pt idx="2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19513</c:v>
                </c:pt>
                <c:pt idx="2">
                  <c:v>32257</c:v>
                </c:pt>
                <c:pt idx="3">
                  <c:v>32313</c:v>
                </c:pt>
                <c:pt idx="4">
                  <c:v>32392</c:v>
                </c:pt>
                <c:pt idx="5">
                  <c:v>32984</c:v>
                </c:pt>
                <c:pt idx="6">
                  <c:v>33069</c:v>
                </c:pt>
                <c:pt idx="7">
                  <c:v>33181</c:v>
                </c:pt>
                <c:pt idx="8">
                  <c:v>33262</c:v>
                </c:pt>
                <c:pt idx="9">
                  <c:v>33848</c:v>
                </c:pt>
                <c:pt idx="10">
                  <c:v>34720</c:v>
                </c:pt>
                <c:pt idx="11">
                  <c:v>36221.5</c:v>
                </c:pt>
                <c:pt idx="12">
                  <c:v>36764</c:v>
                </c:pt>
                <c:pt idx="13">
                  <c:v>36990.5</c:v>
                </c:pt>
                <c:pt idx="14">
                  <c:v>37523</c:v>
                </c:pt>
                <c:pt idx="15">
                  <c:v>37601</c:v>
                </c:pt>
                <c:pt idx="16">
                  <c:v>37601</c:v>
                </c:pt>
                <c:pt idx="17">
                  <c:v>37798</c:v>
                </c:pt>
                <c:pt idx="18">
                  <c:v>38382</c:v>
                </c:pt>
                <c:pt idx="19">
                  <c:v>38467</c:v>
                </c:pt>
                <c:pt idx="20">
                  <c:v>39115</c:v>
                </c:pt>
                <c:pt idx="21">
                  <c:v>39776.5</c:v>
                </c:pt>
                <c:pt idx="22">
                  <c:v>40029</c:v>
                </c:pt>
                <c:pt idx="23">
                  <c:v>43057</c:v>
                </c:pt>
                <c:pt idx="24">
                  <c:v>43065</c:v>
                </c:pt>
                <c:pt idx="25">
                  <c:v>43065.5</c:v>
                </c:pt>
                <c:pt idx="26">
                  <c:v>45358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1">
                  <c:v>-1.5681600001698826E-2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98-409A-8773-F4CECA5177E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19513</c:v>
                </c:pt>
                <c:pt idx="2">
                  <c:v>32257</c:v>
                </c:pt>
                <c:pt idx="3">
                  <c:v>32313</c:v>
                </c:pt>
                <c:pt idx="4">
                  <c:v>32392</c:v>
                </c:pt>
                <c:pt idx="5">
                  <c:v>32984</c:v>
                </c:pt>
                <c:pt idx="6">
                  <c:v>33069</c:v>
                </c:pt>
                <c:pt idx="7">
                  <c:v>33181</c:v>
                </c:pt>
                <c:pt idx="8">
                  <c:v>33262</c:v>
                </c:pt>
                <c:pt idx="9">
                  <c:v>33848</c:v>
                </c:pt>
                <c:pt idx="10">
                  <c:v>34720</c:v>
                </c:pt>
                <c:pt idx="11">
                  <c:v>36221.5</c:v>
                </c:pt>
                <c:pt idx="12">
                  <c:v>36764</c:v>
                </c:pt>
                <c:pt idx="13">
                  <c:v>36990.5</c:v>
                </c:pt>
                <c:pt idx="14">
                  <c:v>37523</c:v>
                </c:pt>
                <c:pt idx="15">
                  <c:v>37601</c:v>
                </c:pt>
                <c:pt idx="16">
                  <c:v>37601</c:v>
                </c:pt>
                <c:pt idx="17">
                  <c:v>37798</c:v>
                </c:pt>
                <c:pt idx="18">
                  <c:v>38382</c:v>
                </c:pt>
                <c:pt idx="19">
                  <c:v>38467</c:v>
                </c:pt>
                <c:pt idx="20">
                  <c:v>39115</c:v>
                </c:pt>
                <c:pt idx="21">
                  <c:v>39776.5</c:v>
                </c:pt>
                <c:pt idx="22">
                  <c:v>40029</c:v>
                </c:pt>
                <c:pt idx="23">
                  <c:v>43057</c:v>
                </c:pt>
                <c:pt idx="24">
                  <c:v>43065</c:v>
                </c:pt>
                <c:pt idx="25">
                  <c:v>43065.5</c:v>
                </c:pt>
                <c:pt idx="26">
                  <c:v>45358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2">
                  <c:v>-1.2382399996567983E-2</c:v>
                </c:pt>
                <c:pt idx="3">
                  <c:v>-1.4541600001393817E-2</c:v>
                </c:pt>
                <c:pt idx="4">
                  <c:v>-1.2214400005177595E-2</c:v>
                </c:pt>
                <c:pt idx="5">
                  <c:v>-1.4768799992452841E-2</c:v>
                </c:pt>
                <c:pt idx="6">
                  <c:v>-1.4940799999749288E-2</c:v>
                </c:pt>
                <c:pt idx="7">
                  <c:v>-1.705920000676997E-2</c:v>
                </c:pt>
                <c:pt idx="8">
                  <c:v>-1.4698400002089329E-2</c:v>
                </c:pt>
                <c:pt idx="9">
                  <c:v>-1.4453600000706501E-2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98-409A-8773-F4CECA5177E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  <c:pt idx="18">
                    <c:v>0</c:v>
                  </c:pt>
                  <c:pt idx="19">
                    <c:v>2E-3</c:v>
                  </c:pt>
                  <c:pt idx="20">
                    <c:v>6.9999999999999999E-4</c:v>
                  </c:pt>
                  <c:pt idx="21">
                    <c:v>1E-3</c:v>
                  </c:pt>
                  <c:pt idx="26">
                    <c:v>1.5E-3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  <c:pt idx="18">
                    <c:v>0</c:v>
                  </c:pt>
                  <c:pt idx="19">
                    <c:v>2E-3</c:v>
                  </c:pt>
                  <c:pt idx="20">
                    <c:v>6.9999999999999999E-4</c:v>
                  </c:pt>
                  <c:pt idx="21">
                    <c:v>1E-3</c:v>
                  </c:pt>
                  <c:pt idx="2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19513</c:v>
                </c:pt>
                <c:pt idx="2">
                  <c:v>32257</c:v>
                </c:pt>
                <c:pt idx="3">
                  <c:v>32313</c:v>
                </c:pt>
                <c:pt idx="4">
                  <c:v>32392</c:v>
                </c:pt>
                <c:pt idx="5">
                  <c:v>32984</c:v>
                </c:pt>
                <c:pt idx="6">
                  <c:v>33069</c:v>
                </c:pt>
                <c:pt idx="7">
                  <c:v>33181</c:v>
                </c:pt>
                <c:pt idx="8">
                  <c:v>33262</c:v>
                </c:pt>
                <c:pt idx="9">
                  <c:v>33848</c:v>
                </c:pt>
                <c:pt idx="10">
                  <c:v>34720</c:v>
                </c:pt>
                <c:pt idx="11">
                  <c:v>36221.5</c:v>
                </c:pt>
                <c:pt idx="12">
                  <c:v>36764</c:v>
                </c:pt>
                <c:pt idx="13">
                  <c:v>36990.5</c:v>
                </c:pt>
                <c:pt idx="14">
                  <c:v>37523</c:v>
                </c:pt>
                <c:pt idx="15">
                  <c:v>37601</c:v>
                </c:pt>
                <c:pt idx="16">
                  <c:v>37601</c:v>
                </c:pt>
                <c:pt idx="17">
                  <c:v>37798</c:v>
                </c:pt>
                <c:pt idx="18">
                  <c:v>38382</c:v>
                </c:pt>
                <c:pt idx="19">
                  <c:v>38467</c:v>
                </c:pt>
                <c:pt idx="20">
                  <c:v>39115</c:v>
                </c:pt>
                <c:pt idx="21">
                  <c:v>39776.5</c:v>
                </c:pt>
                <c:pt idx="22">
                  <c:v>40029</c:v>
                </c:pt>
                <c:pt idx="23">
                  <c:v>43057</c:v>
                </c:pt>
                <c:pt idx="24">
                  <c:v>43065</c:v>
                </c:pt>
                <c:pt idx="25">
                  <c:v>43065.5</c:v>
                </c:pt>
                <c:pt idx="26">
                  <c:v>45358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10">
                  <c:v>-1.4924000002793036E-2</c:v>
                </c:pt>
                <c:pt idx="12">
                  <c:v>-1.8064799995045178E-2</c:v>
                </c:pt>
                <c:pt idx="13">
                  <c:v>-1.1109599996416364E-2</c:v>
                </c:pt>
                <c:pt idx="14">
                  <c:v>-1.9013600001926534E-2</c:v>
                </c:pt>
                <c:pt idx="15">
                  <c:v>-1.7003200002363883E-2</c:v>
                </c:pt>
                <c:pt idx="16">
                  <c:v>-1.7003200002363883E-2</c:v>
                </c:pt>
                <c:pt idx="17">
                  <c:v>-1.5993599998182617E-2</c:v>
                </c:pt>
                <c:pt idx="19">
                  <c:v>-1.5254400001140311E-2</c:v>
                </c:pt>
                <c:pt idx="20">
                  <c:v>-1.7767999997886363E-2</c:v>
                </c:pt>
                <c:pt idx="21">
                  <c:v>-1.5504799994232599E-2</c:v>
                </c:pt>
                <c:pt idx="22">
                  <c:v>-1.8512800001190044E-2</c:v>
                </c:pt>
                <c:pt idx="23">
                  <c:v>-1.3442399998893961E-2</c:v>
                </c:pt>
                <c:pt idx="24">
                  <c:v>-1.3708000005863141E-2</c:v>
                </c:pt>
                <c:pt idx="25">
                  <c:v>-1.0749599990958814E-2</c:v>
                </c:pt>
                <c:pt idx="26">
                  <c:v>-1.0485600003448781E-2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98-409A-8773-F4CECA5177E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  <c:pt idx="18">
                    <c:v>0</c:v>
                  </c:pt>
                  <c:pt idx="19">
                    <c:v>2E-3</c:v>
                  </c:pt>
                  <c:pt idx="20">
                    <c:v>6.9999999999999999E-4</c:v>
                  </c:pt>
                  <c:pt idx="21">
                    <c:v>1E-3</c:v>
                  </c:pt>
                  <c:pt idx="26">
                    <c:v>1.5E-3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  <c:pt idx="18">
                    <c:v>0</c:v>
                  </c:pt>
                  <c:pt idx="19">
                    <c:v>2E-3</c:v>
                  </c:pt>
                  <c:pt idx="20">
                    <c:v>6.9999999999999999E-4</c:v>
                  </c:pt>
                  <c:pt idx="21">
                    <c:v>1E-3</c:v>
                  </c:pt>
                  <c:pt idx="2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19513</c:v>
                </c:pt>
                <c:pt idx="2">
                  <c:v>32257</c:v>
                </c:pt>
                <c:pt idx="3">
                  <c:v>32313</c:v>
                </c:pt>
                <c:pt idx="4">
                  <c:v>32392</c:v>
                </c:pt>
                <c:pt idx="5">
                  <c:v>32984</c:v>
                </c:pt>
                <c:pt idx="6">
                  <c:v>33069</c:v>
                </c:pt>
                <c:pt idx="7">
                  <c:v>33181</c:v>
                </c:pt>
                <c:pt idx="8">
                  <c:v>33262</c:v>
                </c:pt>
                <c:pt idx="9">
                  <c:v>33848</c:v>
                </c:pt>
                <c:pt idx="10">
                  <c:v>34720</c:v>
                </c:pt>
                <c:pt idx="11">
                  <c:v>36221.5</c:v>
                </c:pt>
                <c:pt idx="12">
                  <c:v>36764</c:v>
                </c:pt>
                <c:pt idx="13">
                  <c:v>36990.5</c:v>
                </c:pt>
                <c:pt idx="14">
                  <c:v>37523</c:v>
                </c:pt>
                <c:pt idx="15">
                  <c:v>37601</c:v>
                </c:pt>
                <c:pt idx="16">
                  <c:v>37601</c:v>
                </c:pt>
                <c:pt idx="17">
                  <c:v>37798</c:v>
                </c:pt>
                <c:pt idx="18">
                  <c:v>38382</c:v>
                </c:pt>
                <c:pt idx="19">
                  <c:v>38467</c:v>
                </c:pt>
                <c:pt idx="20">
                  <c:v>39115</c:v>
                </c:pt>
                <c:pt idx="21">
                  <c:v>39776.5</c:v>
                </c:pt>
                <c:pt idx="22">
                  <c:v>40029</c:v>
                </c:pt>
                <c:pt idx="23">
                  <c:v>43057</c:v>
                </c:pt>
                <c:pt idx="24">
                  <c:v>43065</c:v>
                </c:pt>
                <c:pt idx="25">
                  <c:v>43065.5</c:v>
                </c:pt>
                <c:pt idx="26">
                  <c:v>45358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98-409A-8773-F4CECA5177E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  <c:pt idx="18">
                    <c:v>0</c:v>
                  </c:pt>
                  <c:pt idx="19">
                    <c:v>2E-3</c:v>
                  </c:pt>
                  <c:pt idx="20">
                    <c:v>6.9999999999999999E-4</c:v>
                  </c:pt>
                  <c:pt idx="21">
                    <c:v>1E-3</c:v>
                  </c:pt>
                  <c:pt idx="26">
                    <c:v>1.5E-3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  <c:pt idx="18">
                    <c:v>0</c:v>
                  </c:pt>
                  <c:pt idx="19">
                    <c:v>2E-3</c:v>
                  </c:pt>
                  <c:pt idx="20">
                    <c:v>6.9999999999999999E-4</c:v>
                  </c:pt>
                  <c:pt idx="21">
                    <c:v>1E-3</c:v>
                  </c:pt>
                  <c:pt idx="2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19513</c:v>
                </c:pt>
                <c:pt idx="2">
                  <c:v>32257</c:v>
                </c:pt>
                <c:pt idx="3">
                  <c:v>32313</c:v>
                </c:pt>
                <c:pt idx="4">
                  <c:v>32392</c:v>
                </c:pt>
                <c:pt idx="5">
                  <c:v>32984</c:v>
                </c:pt>
                <c:pt idx="6">
                  <c:v>33069</c:v>
                </c:pt>
                <c:pt idx="7">
                  <c:v>33181</c:v>
                </c:pt>
                <c:pt idx="8">
                  <c:v>33262</c:v>
                </c:pt>
                <c:pt idx="9">
                  <c:v>33848</c:v>
                </c:pt>
                <c:pt idx="10">
                  <c:v>34720</c:v>
                </c:pt>
                <c:pt idx="11">
                  <c:v>36221.5</c:v>
                </c:pt>
                <c:pt idx="12">
                  <c:v>36764</c:v>
                </c:pt>
                <c:pt idx="13">
                  <c:v>36990.5</c:v>
                </c:pt>
                <c:pt idx="14">
                  <c:v>37523</c:v>
                </c:pt>
                <c:pt idx="15">
                  <c:v>37601</c:v>
                </c:pt>
                <c:pt idx="16">
                  <c:v>37601</c:v>
                </c:pt>
                <c:pt idx="17">
                  <c:v>37798</c:v>
                </c:pt>
                <c:pt idx="18">
                  <c:v>38382</c:v>
                </c:pt>
                <c:pt idx="19">
                  <c:v>38467</c:v>
                </c:pt>
                <c:pt idx="20">
                  <c:v>39115</c:v>
                </c:pt>
                <c:pt idx="21">
                  <c:v>39776.5</c:v>
                </c:pt>
                <c:pt idx="22">
                  <c:v>40029</c:v>
                </c:pt>
                <c:pt idx="23">
                  <c:v>43057</c:v>
                </c:pt>
                <c:pt idx="24">
                  <c:v>43065</c:v>
                </c:pt>
                <c:pt idx="25">
                  <c:v>43065.5</c:v>
                </c:pt>
                <c:pt idx="26">
                  <c:v>45358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98-409A-8773-F4CECA5177E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  <c:pt idx="18">
                    <c:v>0</c:v>
                  </c:pt>
                  <c:pt idx="19">
                    <c:v>2E-3</c:v>
                  </c:pt>
                  <c:pt idx="20">
                    <c:v>6.9999999999999999E-4</c:v>
                  </c:pt>
                  <c:pt idx="21">
                    <c:v>1E-3</c:v>
                  </c:pt>
                  <c:pt idx="26">
                    <c:v>1.5E-3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  <c:pt idx="18">
                    <c:v>0</c:v>
                  </c:pt>
                  <c:pt idx="19">
                    <c:v>2E-3</c:v>
                  </c:pt>
                  <c:pt idx="20">
                    <c:v>6.9999999999999999E-4</c:v>
                  </c:pt>
                  <c:pt idx="21">
                    <c:v>1E-3</c:v>
                  </c:pt>
                  <c:pt idx="2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19513</c:v>
                </c:pt>
                <c:pt idx="2">
                  <c:v>32257</c:v>
                </c:pt>
                <c:pt idx="3">
                  <c:v>32313</c:v>
                </c:pt>
                <c:pt idx="4">
                  <c:v>32392</c:v>
                </c:pt>
                <c:pt idx="5">
                  <c:v>32984</c:v>
                </c:pt>
                <c:pt idx="6">
                  <c:v>33069</c:v>
                </c:pt>
                <c:pt idx="7">
                  <c:v>33181</c:v>
                </c:pt>
                <c:pt idx="8">
                  <c:v>33262</c:v>
                </c:pt>
                <c:pt idx="9">
                  <c:v>33848</c:v>
                </c:pt>
                <c:pt idx="10">
                  <c:v>34720</c:v>
                </c:pt>
                <c:pt idx="11">
                  <c:v>36221.5</c:v>
                </c:pt>
                <c:pt idx="12">
                  <c:v>36764</c:v>
                </c:pt>
                <c:pt idx="13">
                  <c:v>36990.5</c:v>
                </c:pt>
                <c:pt idx="14">
                  <c:v>37523</c:v>
                </c:pt>
                <c:pt idx="15">
                  <c:v>37601</c:v>
                </c:pt>
                <c:pt idx="16">
                  <c:v>37601</c:v>
                </c:pt>
                <c:pt idx="17">
                  <c:v>37798</c:v>
                </c:pt>
                <c:pt idx="18">
                  <c:v>38382</c:v>
                </c:pt>
                <c:pt idx="19">
                  <c:v>38467</c:v>
                </c:pt>
                <c:pt idx="20">
                  <c:v>39115</c:v>
                </c:pt>
                <c:pt idx="21">
                  <c:v>39776.5</c:v>
                </c:pt>
                <c:pt idx="22">
                  <c:v>40029</c:v>
                </c:pt>
                <c:pt idx="23">
                  <c:v>43057</c:v>
                </c:pt>
                <c:pt idx="24">
                  <c:v>43065</c:v>
                </c:pt>
                <c:pt idx="25">
                  <c:v>43065.5</c:v>
                </c:pt>
                <c:pt idx="26">
                  <c:v>45358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98-409A-8773-F4CECA5177E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19513</c:v>
                </c:pt>
                <c:pt idx="2">
                  <c:v>32257</c:v>
                </c:pt>
                <c:pt idx="3">
                  <c:v>32313</c:v>
                </c:pt>
                <c:pt idx="4">
                  <c:v>32392</c:v>
                </c:pt>
                <c:pt idx="5">
                  <c:v>32984</c:v>
                </c:pt>
                <c:pt idx="6">
                  <c:v>33069</c:v>
                </c:pt>
                <c:pt idx="7">
                  <c:v>33181</c:v>
                </c:pt>
                <c:pt idx="8">
                  <c:v>33262</c:v>
                </c:pt>
                <c:pt idx="9">
                  <c:v>33848</c:v>
                </c:pt>
                <c:pt idx="10">
                  <c:v>34720</c:v>
                </c:pt>
                <c:pt idx="11">
                  <c:v>36221.5</c:v>
                </c:pt>
                <c:pt idx="12">
                  <c:v>36764</c:v>
                </c:pt>
                <c:pt idx="13">
                  <c:v>36990.5</c:v>
                </c:pt>
                <c:pt idx="14">
                  <c:v>37523</c:v>
                </c:pt>
                <c:pt idx="15">
                  <c:v>37601</c:v>
                </c:pt>
                <c:pt idx="16">
                  <c:v>37601</c:v>
                </c:pt>
                <c:pt idx="17">
                  <c:v>37798</c:v>
                </c:pt>
                <c:pt idx="18">
                  <c:v>38382</c:v>
                </c:pt>
                <c:pt idx="19">
                  <c:v>38467</c:v>
                </c:pt>
                <c:pt idx="20">
                  <c:v>39115</c:v>
                </c:pt>
                <c:pt idx="21">
                  <c:v>39776.5</c:v>
                </c:pt>
                <c:pt idx="22">
                  <c:v>40029</c:v>
                </c:pt>
                <c:pt idx="23">
                  <c:v>43057</c:v>
                </c:pt>
                <c:pt idx="24">
                  <c:v>43065</c:v>
                </c:pt>
                <c:pt idx="25">
                  <c:v>43065.5</c:v>
                </c:pt>
                <c:pt idx="26">
                  <c:v>45358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0">
                  <c:v>-1.7601747777489112E-2</c:v>
                </c:pt>
                <c:pt idx="1">
                  <c:v>-1.6191148645833056E-2</c:v>
                </c:pt>
                <c:pt idx="2">
                  <c:v>-1.5269882037222141E-2</c:v>
                </c:pt>
                <c:pt idx="3">
                  <c:v>-1.5265833784704705E-2</c:v>
                </c:pt>
                <c:pt idx="4">
                  <c:v>-1.5260122857046178E-2</c:v>
                </c:pt>
                <c:pt idx="5">
                  <c:v>-1.5217327044718992E-2</c:v>
                </c:pt>
                <c:pt idx="6">
                  <c:v>-1.5211182375719312E-2</c:v>
                </c:pt>
                <c:pt idx="7">
                  <c:v>-1.5203085870684439E-2</c:v>
                </c:pt>
                <c:pt idx="8">
                  <c:v>-1.519723036257886E-2</c:v>
                </c:pt>
                <c:pt idx="9">
                  <c:v>-1.5154868291592828E-2</c:v>
                </c:pt>
                <c:pt idx="10">
                  <c:v>-1.509183121667846E-2</c:v>
                </c:pt>
                <c:pt idx="11">
                  <c:v>-1.4983287446054693E-2</c:v>
                </c:pt>
                <c:pt idx="12">
                  <c:v>-1.4944069999792026E-2</c:v>
                </c:pt>
                <c:pt idx="13">
                  <c:v>-1.4927696264163466E-2</c:v>
                </c:pt>
                <c:pt idx="14">
                  <c:v>-1.4889201720136056E-2</c:v>
                </c:pt>
                <c:pt idx="15">
                  <c:v>-1.4883563082701055E-2</c:v>
                </c:pt>
                <c:pt idx="16">
                  <c:v>-1.4883563082701055E-2</c:v>
                </c:pt>
                <c:pt idx="17">
                  <c:v>-1.4869321908666501E-2</c:v>
                </c:pt>
                <c:pt idx="18">
                  <c:v>-1.4827104418127519E-2</c:v>
                </c:pt>
                <c:pt idx="19">
                  <c:v>-1.4820959749127839E-2</c:v>
                </c:pt>
                <c:pt idx="20">
                  <c:v>-1.4774115684283218E-2</c:v>
                </c:pt>
                <c:pt idx="21">
                  <c:v>-1.4726295701420998E-2</c:v>
                </c:pt>
                <c:pt idx="22">
                  <c:v>-1.470804241998077E-2</c:v>
                </c:pt>
                <c:pt idx="23">
                  <c:v>-1.4489147623145095E-2</c:v>
                </c:pt>
                <c:pt idx="24">
                  <c:v>-1.4488569301356891E-2</c:v>
                </c:pt>
                <c:pt idx="25">
                  <c:v>-1.4488533156245126E-2</c:v>
                </c:pt>
                <c:pt idx="26">
                  <c:v>-1.432280781881257E-2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98-409A-8773-F4CECA5177E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19513</c:v>
                </c:pt>
                <c:pt idx="2">
                  <c:v>32257</c:v>
                </c:pt>
                <c:pt idx="3">
                  <c:v>32313</c:v>
                </c:pt>
                <c:pt idx="4">
                  <c:v>32392</c:v>
                </c:pt>
                <c:pt idx="5">
                  <c:v>32984</c:v>
                </c:pt>
                <c:pt idx="6">
                  <c:v>33069</c:v>
                </c:pt>
                <c:pt idx="7">
                  <c:v>33181</c:v>
                </c:pt>
                <c:pt idx="8">
                  <c:v>33262</c:v>
                </c:pt>
                <c:pt idx="9">
                  <c:v>33848</c:v>
                </c:pt>
                <c:pt idx="10">
                  <c:v>34720</c:v>
                </c:pt>
                <c:pt idx="11">
                  <c:v>36221.5</c:v>
                </c:pt>
                <c:pt idx="12">
                  <c:v>36764</c:v>
                </c:pt>
                <c:pt idx="13">
                  <c:v>36990.5</c:v>
                </c:pt>
                <c:pt idx="14">
                  <c:v>37523</c:v>
                </c:pt>
                <c:pt idx="15">
                  <c:v>37601</c:v>
                </c:pt>
                <c:pt idx="16">
                  <c:v>37601</c:v>
                </c:pt>
                <c:pt idx="17">
                  <c:v>37798</c:v>
                </c:pt>
                <c:pt idx="18">
                  <c:v>38382</c:v>
                </c:pt>
                <c:pt idx="19">
                  <c:v>38467</c:v>
                </c:pt>
                <c:pt idx="20">
                  <c:v>39115</c:v>
                </c:pt>
                <c:pt idx="21">
                  <c:v>39776.5</c:v>
                </c:pt>
                <c:pt idx="22">
                  <c:v>40029</c:v>
                </c:pt>
                <c:pt idx="23">
                  <c:v>43057</c:v>
                </c:pt>
                <c:pt idx="24">
                  <c:v>43065</c:v>
                </c:pt>
                <c:pt idx="25">
                  <c:v>43065.5</c:v>
                </c:pt>
                <c:pt idx="26">
                  <c:v>45358</c:v>
                </c:pt>
              </c:numCache>
            </c:numRef>
          </c:xVal>
          <c:yVal>
            <c:numRef>
              <c:f>Active!$U$21:$U$987</c:f>
              <c:numCache>
                <c:formatCode>General</c:formatCode>
                <c:ptCount val="967"/>
                <c:pt idx="11">
                  <c:v>2.1271199999318924E-2</c:v>
                </c:pt>
                <c:pt idx="18">
                  <c:v>-0.11419239999668207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198-409A-8773-F4CECA517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702976"/>
        <c:axId val="1"/>
      </c:scatterChart>
      <c:valAx>
        <c:axId val="746702976"/>
        <c:scaling>
          <c:orientation val="minMax"/>
          <c:max val="42000"/>
          <c:min val="3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58984748888593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013977128335452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6702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13863403669204"/>
          <c:y val="0.92024539877300615"/>
          <c:w val="0.71537524137310027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GI Vul - O-C Diagr.</a:t>
            </a:r>
          </a:p>
        </c:rich>
      </c:tx>
      <c:layout>
        <c:manualLayout>
          <c:xMode val="edge"/>
          <c:yMode val="edge"/>
          <c:x val="0.41080428388662471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37193558854796"/>
          <c:y val="0.14678942920199375"/>
          <c:w val="0.83794021250062112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19513</c:v>
                </c:pt>
                <c:pt idx="2">
                  <c:v>32257</c:v>
                </c:pt>
                <c:pt idx="3">
                  <c:v>32313</c:v>
                </c:pt>
                <c:pt idx="4">
                  <c:v>32392</c:v>
                </c:pt>
                <c:pt idx="5">
                  <c:v>32984</c:v>
                </c:pt>
                <c:pt idx="6">
                  <c:v>33069</c:v>
                </c:pt>
                <c:pt idx="7">
                  <c:v>33181</c:v>
                </c:pt>
                <c:pt idx="8">
                  <c:v>33262</c:v>
                </c:pt>
                <c:pt idx="9">
                  <c:v>33848</c:v>
                </c:pt>
                <c:pt idx="10">
                  <c:v>34720</c:v>
                </c:pt>
                <c:pt idx="11">
                  <c:v>36221.5</c:v>
                </c:pt>
                <c:pt idx="12">
                  <c:v>36764</c:v>
                </c:pt>
                <c:pt idx="13">
                  <c:v>36990.5</c:v>
                </c:pt>
                <c:pt idx="14">
                  <c:v>37523</c:v>
                </c:pt>
                <c:pt idx="15">
                  <c:v>37601</c:v>
                </c:pt>
                <c:pt idx="16">
                  <c:v>37601</c:v>
                </c:pt>
                <c:pt idx="17">
                  <c:v>37798</c:v>
                </c:pt>
                <c:pt idx="18">
                  <c:v>38382</c:v>
                </c:pt>
                <c:pt idx="19">
                  <c:v>38467</c:v>
                </c:pt>
                <c:pt idx="20">
                  <c:v>39115</c:v>
                </c:pt>
                <c:pt idx="21">
                  <c:v>39776.5</c:v>
                </c:pt>
                <c:pt idx="22">
                  <c:v>40029</c:v>
                </c:pt>
                <c:pt idx="23">
                  <c:v>43057</c:v>
                </c:pt>
                <c:pt idx="24">
                  <c:v>43065</c:v>
                </c:pt>
                <c:pt idx="25">
                  <c:v>43065.5</c:v>
                </c:pt>
                <c:pt idx="26">
                  <c:v>45358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24-47DC-92D2-1C486A0E95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  <c:pt idx="18">
                    <c:v>0</c:v>
                  </c:pt>
                  <c:pt idx="19">
                    <c:v>2E-3</c:v>
                  </c:pt>
                  <c:pt idx="20">
                    <c:v>6.9999999999999999E-4</c:v>
                  </c:pt>
                  <c:pt idx="21">
                    <c:v>1E-3</c:v>
                  </c:pt>
                  <c:pt idx="26">
                    <c:v>1.5E-3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  <c:pt idx="18">
                    <c:v>0</c:v>
                  </c:pt>
                  <c:pt idx="19">
                    <c:v>2E-3</c:v>
                  </c:pt>
                  <c:pt idx="20">
                    <c:v>6.9999999999999999E-4</c:v>
                  </c:pt>
                  <c:pt idx="21">
                    <c:v>1E-3</c:v>
                  </c:pt>
                  <c:pt idx="2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19513</c:v>
                </c:pt>
                <c:pt idx="2">
                  <c:v>32257</c:v>
                </c:pt>
                <c:pt idx="3">
                  <c:v>32313</c:v>
                </c:pt>
                <c:pt idx="4">
                  <c:v>32392</c:v>
                </c:pt>
                <c:pt idx="5">
                  <c:v>32984</c:v>
                </c:pt>
                <c:pt idx="6">
                  <c:v>33069</c:v>
                </c:pt>
                <c:pt idx="7">
                  <c:v>33181</c:v>
                </c:pt>
                <c:pt idx="8">
                  <c:v>33262</c:v>
                </c:pt>
                <c:pt idx="9">
                  <c:v>33848</c:v>
                </c:pt>
                <c:pt idx="10">
                  <c:v>34720</c:v>
                </c:pt>
                <c:pt idx="11">
                  <c:v>36221.5</c:v>
                </c:pt>
                <c:pt idx="12">
                  <c:v>36764</c:v>
                </c:pt>
                <c:pt idx="13">
                  <c:v>36990.5</c:v>
                </c:pt>
                <c:pt idx="14">
                  <c:v>37523</c:v>
                </c:pt>
                <c:pt idx="15">
                  <c:v>37601</c:v>
                </c:pt>
                <c:pt idx="16">
                  <c:v>37601</c:v>
                </c:pt>
                <c:pt idx="17">
                  <c:v>37798</c:v>
                </c:pt>
                <c:pt idx="18">
                  <c:v>38382</c:v>
                </c:pt>
                <c:pt idx="19">
                  <c:v>38467</c:v>
                </c:pt>
                <c:pt idx="20">
                  <c:v>39115</c:v>
                </c:pt>
                <c:pt idx="21">
                  <c:v>39776.5</c:v>
                </c:pt>
                <c:pt idx="22">
                  <c:v>40029</c:v>
                </c:pt>
                <c:pt idx="23">
                  <c:v>43057</c:v>
                </c:pt>
                <c:pt idx="24">
                  <c:v>43065</c:v>
                </c:pt>
                <c:pt idx="25">
                  <c:v>43065.5</c:v>
                </c:pt>
                <c:pt idx="26">
                  <c:v>45358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1">
                  <c:v>-1.5681600001698826E-2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24-47DC-92D2-1C486A0E95C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19513</c:v>
                </c:pt>
                <c:pt idx="2">
                  <c:v>32257</c:v>
                </c:pt>
                <c:pt idx="3">
                  <c:v>32313</c:v>
                </c:pt>
                <c:pt idx="4">
                  <c:v>32392</c:v>
                </c:pt>
                <c:pt idx="5">
                  <c:v>32984</c:v>
                </c:pt>
                <c:pt idx="6">
                  <c:v>33069</c:v>
                </c:pt>
                <c:pt idx="7">
                  <c:v>33181</c:v>
                </c:pt>
                <c:pt idx="8">
                  <c:v>33262</c:v>
                </c:pt>
                <c:pt idx="9">
                  <c:v>33848</c:v>
                </c:pt>
                <c:pt idx="10">
                  <c:v>34720</c:v>
                </c:pt>
                <c:pt idx="11">
                  <c:v>36221.5</c:v>
                </c:pt>
                <c:pt idx="12">
                  <c:v>36764</c:v>
                </c:pt>
                <c:pt idx="13">
                  <c:v>36990.5</c:v>
                </c:pt>
                <c:pt idx="14">
                  <c:v>37523</c:v>
                </c:pt>
                <c:pt idx="15">
                  <c:v>37601</c:v>
                </c:pt>
                <c:pt idx="16">
                  <c:v>37601</c:v>
                </c:pt>
                <c:pt idx="17">
                  <c:v>37798</c:v>
                </c:pt>
                <c:pt idx="18">
                  <c:v>38382</c:v>
                </c:pt>
                <c:pt idx="19">
                  <c:v>38467</c:v>
                </c:pt>
                <c:pt idx="20">
                  <c:v>39115</c:v>
                </c:pt>
                <c:pt idx="21">
                  <c:v>39776.5</c:v>
                </c:pt>
                <c:pt idx="22">
                  <c:v>40029</c:v>
                </c:pt>
                <c:pt idx="23">
                  <c:v>43057</c:v>
                </c:pt>
                <c:pt idx="24">
                  <c:v>43065</c:v>
                </c:pt>
                <c:pt idx="25">
                  <c:v>43065.5</c:v>
                </c:pt>
                <c:pt idx="26">
                  <c:v>45358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2">
                  <c:v>-1.2382399996567983E-2</c:v>
                </c:pt>
                <c:pt idx="3">
                  <c:v>-1.4541600001393817E-2</c:v>
                </c:pt>
                <c:pt idx="4">
                  <c:v>-1.2214400005177595E-2</c:v>
                </c:pt>
                <c:pt idx="5">
                  <c:v>-1.4768799992452841E-2</c:v>
                </c:pt>
                <c:pt idx="6">
                  <c:v>-1.4940799999749288E-2</c:v>
                </c:pt>
                <c:pt idx="7">
                  <c:v>-1.705920000676997E-2</c:v>
                </c:pt>
                <c:pt idx="8">
                  <c:v>-1.4698400002089329E-2</c:v>
                </c:pt>
                <c:pt idx="9">
                  <c:v>-1.4453600000706501E-2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24-47DC-92D2-1C486A0E95C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  <c:pt idx="18">
                    <c:v>0</c:v>
                  </c:pt>
                  <c:pt idx="19">
                    <c:v>2E-3</c:v>
                  </c:pt>
                  <c:pt idx="20">
                    <c:v>6.9999999999999999E-4</c:v>
                  </c:pt>
                  <c:pt idx="21">
                    <c:v>1E-3</c:v>
                  </c:pt>
                  <c:pt idx="26">
                    <c:v>1.5E-3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  <c:pt idx="18">
                    <c:v>0</c:v>
                  </c:pt>
                  <c:pt idx="19">
                    <c:v>2E-3</c:v>
                  </c:pt>
                  <c:pt idx="20">
                    <c:v>6.9999999999999999E-4</c:v>
                  </c:pt>
                  <c:pt idx="21">
                    <c:v>1E-3</c:v>
                  </c:pt>
                  <c:pt idx="2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19513</c:v>
                </c:pt>
                <c:pt idx="2">
                  <c:v>32257</c:v>
                </c:pt>
                <c:pt idx="3">
                  <c:v>32313</c:v>
                </c:pt>
                <c:pt idx="4">
                  <c:v>32392</c:v>
                </c:pt>
                <c:pt idx="5">
                  <c:v>32984</c:v>
                </c:pt>
                <c:pt idx="6">
                  <c:v>33069</c:v>
                </c:pt>
                <c:pt idx="7">
                  <c:v>33181</c:v>
                </c:pt>
                <c:pt idx="8">
                  <c:v>33262</c:v>
                </c:pt>
                <c:pt idx="9">
                  <c:v>33848</c:v>
                </c:pt>
                <c:pt idx="10">
                  <c:v>34720</c:v>
                </c:pt>
                <c:pt idx="11">
                  <c:v>36221.5</c:v>
                </c:pt>
                <c:pt idx="12">
                  <c:v>36764</c:v>
                </c:pt>
                <c:pt idx="13">
                  <c:v>36990.5</c:v>
                </c:pt>
                <c:pt idx="14">
                  <c:v>37523</c:v>
                </c:pt>
                <c:pt idx="15">
                  <c:v>37601</c:v>
                </c:pt>
                <c:pt idx="16">
                  <c:v>37601</c:v>
                </c:pt>
                <c:pt idx="17">
                  <c:v>37798</c:v>
                </c:pt>
                <c:pt idx="18">
                  <c:v>38382</c:v>
                </c:pt>
                <c:pt idx="19">
                  <c:v>38467</c:v>
                </c:pt>
                <c:pt idx="20">
                  <c:v>39115</c:v>
                </c:pt>
                <c:pt idx="21">
                  <c:v>39776.5</c:v>
                </c:pt>
                <c:pt idx="22">
                  <c:v>40029</c:v>
                </c:pt>
                <c:pt idx="23">
                  <c:v>43057</c:v>
                </c:pt>
                <c:pt idx="24">
                  <c:v>43065</c:v>
                </c:pt>
                <c:pt idx="25">
                  <c:v>43065.5</c:v>
                </c:pt>
                <c:pt idx="26">
                  <c:v>45358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10">
                  <c:v>-1.4924000002793036E-2</c:v>
                </c:pt>
                <c:pt idx="12">
                  <c:v>-1.8064799995045178E-2</c:v>
                </c:pt>
                <c:pt idx="13">
                  <c:v>-1.1109599996416364E-2</c:v>
                </c:pt>
                <c:pt idx="14">
                  <c:v>-1.9013600001926534E-2</c:v>
                </c:pt>
                <c:pt idx="15">
                  <c:v>-1.7003200002363883E-2</c:v>
                </c:pt>
                <c:pt idx="16">
                  <c:v>-1.7003200002363883E-2</c:v>
                </c:pt>
                <c:pt idx="17">
                  <c:v>-1.5993599998182617E-2</c:v>
                </c:pt>
                <c:pt idx="19">
                  <c:v>-1.5254400001140311E-2</c:v>
                </c:pt>
                <c:pt idx="20">
                  <c:v>-1.7767999997886363E-2</c:v>
                </c:pt>
                <c:pt idx="21">
                  <c:v>-1.5504799994232599E-2</c:v>
                </c:pt>
                <c:pt idx="22">
                  <c:v>-1.8512800001190044E-2</c:v>
                </c:pt>
                <c:pt idx="23">
                  <c:v>-1.3442399998893961E-2</c:v>
                </c:pt>
                <c:pt idx="24">
                  <c:v>-1.3708000005863141E-2</c:v>
                </c:pt>
                <c:pt idx="25">
                  <c:v>-1.0749599990958814E-2</c:v>
                </c:pt>
                <c:pt idx="26">
                  <c:v>-1.0485600003448781E-2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24-47DC-92D2-1C486A0E95C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  <c:pt idx="18">
                    <c:v>0</c:v>
                  </c:pt>
                  <c:pt idx="19">
                    <c:v>2E-3</c:v>
                  </c:pt>
                  <c:pt idx="20">
                    <c:v>6.9999999999999999E-4</c:v>
                  </c:pt>
                  <c:pt idx="21">
                    <c:v>1E-3</c:v>
                  </c:pt>
                  <c:pt idx="26">
                    <c:v>1.5E-3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  <c:pt idx="18">
                    <c:v>0</c:v>
                  </c:pt>
                  <c:pt idx="19">
                    <c:v>2E-3</c:v>
                  </c:pt>
                  <c:pt idx="20">
                    <c:v>6.9999999999999999E-4</c:v>
                  </c:pt>
                  <c:pt idx="21">
                    <c:v>1E-3</c:v>
                  </c:pt>
                  <c:pt idx="2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19513</c:v>
                </c:pt>
                <c:pt idx="2">
                  <c:v>32257</c:v>
                </c:pt>
                <c:pt idx="3">
                  <c:v>32313</c:v>
                </c:pt>
                <c:pt idx="4">
                  <c:v>32392</c:v>
                </c:pt>
                <c:pt idx="5">
                  <c:v>32984</c:v>
                </c:pt>
                <c:pt idx="6">
                  <c:v>33069</c:v>
                </c:pt>
                <c:pt idx="7">
                  <c:v>33181</c:v>
                </c:pt>
                <c:pt idx="8">
                  <c:v>33262</c:v>
                </c:pt>
                <c:pt idx="9">
                  <c:v>33848</c:v>
                </c:pt>
                <c:pt idx="10">
                  <c:v>34720</c:v>
                </c:pt>
                <c:pt idx="11">
                  <c:v>36221.5</c:v>
                </c:pt>
                <c:pt idx="12">
                  <c:v>36764</c:v>
                </c:pt>
                <c:pt idx="13">
                  <c:v>36990.5</c:v>
                </c:pt>
                <c:pt idx="14">
                  <c:v>37523</c:v>
                </c:pt>
                <c:pt idx="15">
                  <c:v>37601</c:v>
                </c:pt>
                <c:pt idx="16">
                  <c:v>37601</c:v>
                </c:pt>
                <c:pt idx="17">
                  <c:v>37798</c:v>
                </c:pt>
                <c:pt idx="18">
                  <c:v>38382</c:v>
                </c:pt>
                <c:pt idx="19">
                  <c:v>38467</c:v>
                </c:pt>
                <c:pt idx="20">
                  <c:v>39115</c:v>
                </c:pt>
                <c:pt idx="21">
                  <c:v>39776.5</c:v>
                </c:pt>
                <c:pt idx="22">
                  <c:v>40029</c:v>
                </c:pt>
                <c:pt idx="23">
                  <c:v>43057</c:v>
                </c:pt>
                <c:pt idx="24">
                  <c:v>43065</c:v>
                </c:pt>
                <c:pt idx="25">
                  <c:v>43065.5</c:v>
                </c:pt>
                <c:pt idx="26">
                  <c:v>45358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24-47DC-92D2-1C486A0E95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  <c:pt idx="18">
                    <c:v>0</c:v>
                  </c:pt>
                  <c:pt idx="19">
                    <c:v>2E-3</c:v>
                  </c:pt>
                  <c:pt idx="20">
                    <c:v>6.9999999999999999E-4</c:v>
                  </c:pt>
                  <c:pt idx="21">
                    <c:v>1E-3</c:v>
                  </c:pt>
                  <c:pt idx="26">
                    <c:v>1.5E-3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  <c:pt idx="18">
                    <c:v>0</c:v>
                  </c:pt>
                  <c:pt idx="19">
                    <c:v>2E-3</c:v>
                  </c:pt>
                  <c:pt idx="20">
                    <c:v>6.9999999999999999E-4</c:v>
                  </c:pt>
                  <c:pt idx="21">
                    <c:v>1E-3</c:v>
                  </c:pt>
                  <c:pt idx="2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19513</c:v>
                </c:pt>
                <c:pt idx="2">
                  <c:v>32257</c:v>
                </c:pt>
                <c:pt idx="3">
                  <c:v>32313</c:v>
                </c:pt>
                <c:pt idx="4">
                  <c:v>32392</c:v>
                </c:pt>
                <c:pt idx="5">
                  <c:v>32984</c:v>
                </c:pt>
                <c:pt idx="6">
                  <c:v>33069</c:v>
                </c:pt>
                <c:pt idx="7">
                  <c:v>33181</c:v>
                </c:pt>
                <c:pt idx="8">
                  <c:v>33262</c:v>
                </c:pt>
                <c:pt idx="9">
                  <c:v>33848</c:v>
                </c:pt>
                <c:pt idx="10">
                  <c:v>34720</c:v>
                </c:pt>
                <c:pt idx="11">
                  <c:v>36221.5</c:v>
                </c:pt>
                <c:pt idx="12">
                  <c:v>36764</c:v>
                </c:pt>
                <c:pt idx="13">
                  <c:v>36990.5</c:v>
                </c:pt>
                <c:pt idx="14">
                  <c:v>37523</c:v>
                </c:pt>
                <c:pt idx="15">
                  <c:v>37601</c:v>
                </c:pt>
                <c:pt idx="16">
                  <c:v>37601</c:v>
                </c:pt>
                <c:pt idx="17">
                  <c:v>37798</c:v>
                </c:pt>
                <c:pt idx="18">
                  <c:v>38382</c:v>
                </c:pt>
                <c:pt idx="19">
                  <c:v>38467</c:v>
                </c:pt>
                <c:pt idx="20">
                  <c:v>39115</c:v>
                </c:pt>
                <c:pt idx="21">
                  <c:v>39776.5</c:v>
                </c:pt>
                <c:pt idx="22">
                  <c:v>40029</c:v>
                </c:pt>
                <c:pt idx="23">
                  <c:v>43057</c:v>
                </c:pt>
                <c:pt idx="24">
                  <c:v>43065</c:v>
                </c:pt>
                <c:pt idx="25">
                  <c:v>43065.5</c:v>
                </c:pt>
                <c:pt idx="26">
                  <c:v>45358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24-47DC-92D2-1C486A0E95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  <c:pt idx="18">
                    <c:v>0</c:v>
                  </c:pt>
                  <c:pt idx="19">
                    <c:v>2E-3</c:v>
                  </c:pt>
                  <c:pt idx="20">
                    <c:v>6.9999999999999999E-4</c:v>
                  </c:pt>
                  <c:pt idx="21">
                    <c:v>1E-3</c:v>
                  </c:pt>
                  <c:pt idx="26">
                    <c:v>1.5E-3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6.8999999999999999E-3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8.9999999999999998E-4</c:v>
                  </c:pt>
                  <c:pt idx="8">
                    <c:v>2.0999999999999999E-3</c:v>
                  </c:pt>
                  <c:pt idx="9">
                    <c:v>1.4E-3</c:v>
                  </c:pt>
                  <c:pt idx="10">
                    <c:v>2.3999999999999998E-3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1.6999999999999999E-3</c:v>
                  </c:pt>
                  <c:pt idx="14">
                    <c:v>2.0000000000000001E-4</c:v>
                  </c:pt>
                  <c:pt idx="15">
                    <c:v>3.8E-3</c:v>
                  </c:pt>
                  <c:pt idx="16">
                    <c:v>3.8E-3</c:v>
                  </c:pt>
                  <c:pt idx="17">
                    <c:v>3.0000000000000001E-3</c:v>
                  </c:pt>
                  <c:pt idx="18">
                    <c:v>0</c:v>
                  </c:pt>
                  <c:pt idx="19">
                    <c:v>2E-3</c:v>
                  </c:pt>
                  <c:pt idx="20">
                    <c:v>6.9999999999999999E-4</c:v>
                  </c:pt>
                  <c:pt idx="21">
                    <c:v>1E-3</c:v>
                  </c:pt>
                  <c:pt idx="2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19513</c:v>
                </c:pt>
                <c:pt idx="2">
                  <c:v>32257</c:v>
                </c:pt>
                <c:pt idx="3">
                  <c:v>32313</c:v>
                </c:pt>
                <c:pt idx="4">
                  <c:v>32392</c:v>
                </c:pt>
                <c:pt idx="5">
                  <c:v>32984</c:v>
                </c:pt>
                <c:pt idx="6">
                  <c:v>33069</c:v>
                </c:pt>
                <c:pt idx="7">
                  <c:v>33181</c:v>
                </c:pt>
                <c:pt idx="8">
                  <c:v>33262</c:v>
                </c:pt>
                <c:pt idx="9">
                  <c:v>33848</c:v>
                </c:pt>
                <c:pt idx="10">
                  <c:v>34720</c:v>
                </c:pt>
                <c:pt idx="11">
                  <c:v>36221.5</c:v>
                </c:pt>
                <c:pt idx="12">
                  <c:v>36764</c:v>
                </c:pt>
                <c:pt idx="13">
                  <c:v>36990.5</c:v>
                </c:pt>
                <c:pt idx="14">
                  <c:v>37523</c:v>
                </c:pt>
                <c:pt idx="15">
                  <c:v>37601</c:v>
                </c:pt>
                <c:pt idx="16">
                  <c:v>37601</c:v>
                </c:pt>
                <c:pt idx="17">
                  <c:v>37798</c:v>
                </c:pt>
                <c:pt idx="18">
                  <c:v>38382</c:v>
                </c:pt>
                <c:pt idx="19">
                  <c:v>38467</c:v>
                </c:pt>
                <c:pt idx="20">
                  <c:v>39115</c:v>
                </c:pt>
                <c:pt idx="21">
                  <c:v>39776.5</c:v>
                </c:pt>
                <c:pt idx="22">
                  <c:v>40029</c:v>
                </c:pt>
                <c:pt idx="23">
                  <c:v>43057</c:v>
                </c:pt>
                <c:pt idx="24">
                  <c:v>43065</c:v>
                </c:pt>
                <c:pt idx="25">
                  <c:v>43065.5</c:v>
                </c:pt>
                <c:pt idx="26">
                  <c:v>45358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24-47DC-92D2-1C486A0E95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19513</c:v>
                </c:pt>
                <c:pt idx="2">
                  <c:v>32257</c:v>
                </c:pt>
                <c:pt idx="3">
                  <c:v>32313</c:v>
                </c:pt>
                <c:pt idx="4">
                  <c:v>32392</c:v>
                </c:pt>
                <c:pt idx="5">
                  <c:v>32984</c:v>
                </c:pt>
                <c:pt idx="6">
                  <c:v>33069</c:v>
                </c:pt>
                <c:pt idx="7">
                  <c:v>33181</c:v>
                </c:pt>
                <c:pt idx="8">
                  <c:v>33262</c:v>
                </c:pt>
                <c:pt idx="9">
                  <c:v>33848</c:v>
                </c:pt>
                <c:pt idx="10">
                  <c:v>34720</c:v>
                </c:pt>
                <c:pt idx="11">
                  <c:v>36221.5</c:v>
                </c:pt>
                <c:pt idx="12">
                  <c:v>36764</c:v>
                </c:pt>
                <c:pt idx="13">
                  <c:v>36990.5</c:v>
                </c:pt>
                <c:pt idx="14">
                  <c:v>37523</c:v>
                </c:pt>
                <c:pt idx="15">
                  <c:v>37601</c:v>
                </c:pt>
                <c:pt idx="16">
                  <c:v>37601</c:v>
                </c:pt>
                <c:pt idx="17">
                  <c:v>37798</c:v>
                </c:pt>
                <c:pt idx="18">
                  <c:v>38382</c:v>
                </c:pt>
                <c:pt idx="19">
                  <c:v>38467</c:v>
                </c:pt>
                <c:pt idx="20">
                  <c:v>39115</c:v>
                </c:pt>
                <c:pt idx="21">
                  <c:v>39776.5</c:v>
                </c:pt>
                <c:pt idx="22">
                  <c:v>40029</c:v>
                </c:pt>
                <c:pt idx="23">
                  <c:v>43057</c:v>
                </c:pt>
                <c:pt idx="24">
                  <c:v>43065</c:v>
                </c:pt>
                <c:pt idx="25">
                  <c:v>43065.5</c:v>
                </c:pt>
                <c:pt idx="26">
                  <c:v>45358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0">
                  <c:v>-1.7601747777489112E-2</c:v>
                </c:pt>
                <c:pt idx="1">
                  <c:v>-1.6191148645833056E-2</c:v>
                </c:pt>
                <c:pt idx="2">
                  <c:v>-1.5269882037222141E-2</c:v>
                </c:pt>
                <c:pt idx="3">
                  <c:v>-1.5265833784704705E-2</c:v>
                </c:pt>
                <c:pt idx="4">
                  <c:v>-1.5260122857046178E-2</c:v>
                </c:pt>
                <c:pt idx="5">
                  <c:v>-1.5217327044718992E-2</c:v>
                </c:pt>
                <c:pt idx="6">
                  <c:v>-1.5211182375719312E-2</c:v>
                </c:pt>
                <c:pt idx="7">
                  <c:v>-1.5203085870684439E-2</c:v>
                </c:pt>
                <c:pt idx="8">
                  <c:v>-1.519723036257886E-2</c:v>
                </c:pt>
                <c:pt idx="9">
                  <c:v>-1.5154868291592828E-2</c:v>
                </c:pt>
                <c:pt idx="10">
                  <c:v>-1.509183121667846E-2</c:v>
                </c:pt>
                <c:pt idx="11">
                  <c:v>-1.4983287446054693E-2</c:v>
                </c:pt>
                <c:pt idx="12">
                  <c:v>-1.4944069999792026E-2</c:v>
                </c:pt>
                <c:pt idx="13">
                  <c:v>-1.4927696264163466E-2</c:v>
                </c:pt>
                <c:pt idx="14">
                  <c:v>-1.4889201720136056E-2</c:v>
                </c:pt>
                <c:pt idx="15">
                  <c:v>-1.4883563082701055E-2</c:v>
                </c:pt>
                <c:pt idx="16">
                  <c:v>-1.4883563082701055E-2</c:v>
                </c:pt>
                <c:pt idx="17">
                  <c:v>-1.4869321908666501E-2</c:v>
                </c:pt>
                <c:pt idx="18">
                  <c:v>-1.4827104418127519E-2</c:v>
                </c:pt>
                <c:pt idx="19">
                  <c:v>-1.4820959749127839E-2</c:v>
                </c:pt>
                <c:pt idx="20">
                  <c:v>-1.4774115684283218E-2</c:v>
                </c:pt>
                <c:pt idx="21">
                  <c:v>-1.4726295701420998E-2</c:v>
                </c:pt>
                <c:pt idx="22">
                  <c:v>-1.470804241998077E-2</c:v>
                </c:pt>
                <c:pt idx="23">
                  <c:v>-1.4489147623145095E-2</c:v>
                </c:pt>
                <c:pt idx="24">
                  <c:v>-1.4488569301356891E-2</c:v>
                </c:pt>
                <c:pt idx="25">
                  <c:v>-1.4488533156245126E-2</c:v>
                </c:pt>
                <c:pt idx="26">
                  <c:v>-1.432280781881257E-2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24-47DC-92D2-1C486A0E9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692536"/>
        <c:axId val="1"/>
      </c:scatterChart>
      <c:valAx>
        <c:axId val="746692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89473614793125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482412060301508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6692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241219219456863"/>
          <c:y val="0.9204921861831491"/>
          <c:w val="0.6356787876389823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57151</xdr:colOff>
      <xdr:row>0</xdr:row>
      <xdr:rowOff>0</xdr:rowOff>
    </xdr:from>
    <xdr:to>
      <xdr:col>17</xdr:col>
      <xdr:colOff>514351</xdr:colOff>
      <xdr:row>18</xdr:row>
      <xdr:rowOff>104774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A4796C3-87B3-7D02-3E6B-17E27AC1C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523875</xdr:colOff>
      <xdr:row>0</xdr:row>
      <xdr:rowOff>0</xdr:rowOff>
    </xdr:from>
    <xdr:to>
      <xdr:col>27</xdr:col>
      <xdr:colOff>257175</xdr:colOff>
      <xdr:row>18</xdr:row>
      <xdr:rowOff>104775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99444FDA-2A64-6361-F8DA-48603F332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93" TargetMode="External"/><Relationship Id="rId3" Type="http://schemas.openxmlformats.org/officeDocument/2006/relationships/hyperlink" Target="http://www.bav-astro.de/sfs/BAVM_link.php?BAVMnr=172" TargetMode="External"/><Relationship Id="rId7" Type="http://schemas.openxmlformats.org/officeDocument/2006/relationships/hyperlink" Target="http://www.konkoly.hu/cgi-bin/IBVS?5820" TargetMode="External"/><Relationship Id="rId12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bav-astro.de/sfs/BAVM_link.php?BAVMnr=172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bav-astro.de/sfs/BAVM_link.php?BAVMnr=178" TargetMode="External"/><Relationship Id="rId11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var.astro.cz/oejv/issues/oejv0003.pdf" TargetMode="External"/><Relationship Id="rId10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var.astro.cz/oejv/issues/oejv0003.pdf" TargetMode="External"/><Relationship Id="rId9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558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2.28515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43</v>
      </c>
    </row>
    <row r="2" spans="1:6" s="40" customFormat="1" ht="12.95" customHeight="1" x14ac:dyDescent="0.2">
      <c r="A2" s="40" t="s">
        <v>24</v>
      </c>
      <c r="B2" s="41" t="s">
        <v>41</v>
      </c>
      <c r="C2" s="42" t="s">
        <v>39</v>
      </c>
    </row>
    <row r="3" spans="1:6" s="40" customFormat="1" ht="12.95" customHeight="1" thickBot="1" x14ac:dyDescent="0.25"/>
    <row r="4" spans="1:6" s="40" customFormat="1" ht="12.95" customHeight="1" thickTop="1" thickBot="1" x14ac:dyDescent="0.25">
      <c r="A4" s="43" t="s">
        <v>0</v>
      </c>
      <c r="C4" s="44">
        <v>35066.262999999999</v>
      </c>
      <c r="D4" s="45">
        <v>0.4814832</v>
      </c>
    </row>
    <row r="5" spans="1:6" s="40" customFormat="1" ht="12.95" customHeight="1" thickTop="1" x14ac:dyDescent="0.2">
      <c r="A5" s="46" t="s">
        <v>45</v>
      </c>
      <c r="C5" s="47">
        <v>-9.5</v>
      </c>
      <c r="D5" s="40" t="s">
        <v>46</v>
      </c>
    </row>
    <row r="6" spans="1:6" s="40" customFormat="1" ht="12.95" customHeight="1" x14ac:dyDescent="0.2">
      <c r="A6" s="43" t="s">
        <v>1</v>
      </c>
    </row>
    <row r="7" spans="1:6" s="40" customFormat="1" ht="12.95" customHeight="1" x14ac:dyDescent="0.2">
      <c r="A7" s="40" t="s">
        <v>2</v>
      </c>
      <c r="C7" s="40">
        <f>+C4</f>
        <v>35066.262999999999</v>
      </c>
      <c r="D7" s="63" t="s">
        <v>132</v>
      </c>
    </row>
    <row r="8" spans="1:6" s="40" customFormat="1" ht="12.95" customHeight="1" x14ac:dyDescent="0.2">
      <c r="A8" s="40" t="s">
        <v>3</v>
      </c>
      <c r="C8" s="40">
        <f>+D4</f>
        <v>0.4814832</v>
      </c>
      <c r="D8" s="63" t="s">
        <v>132</v>
      </c>
    </row>
    <row r="9" spans="1:6" s="40" customFormat="1" ht="12.95" customHeight="1" x14ac:dyDescent="0.2">
      <c r="A9" s="48" t="s">
        <v>49</v>
      </c>
      <c r="B9" s="49">
        <v>22</v>
      </c>
      <c r="C9" s="50" t="str">
        <f>"F"&amp;B9</f>
        <v>F22</v>
      </c>
      <c r="D9" s="51" t="str">
        <f>"G"&amp;B9</f>
        <v>G22</v>
      </c>
    </row>
    <row r="10" spans="1:6" s="40" customFormat="1" ht="12.95" customHeight="1" thickBot="1" x14ac:dyDescent="0.25">
      <c r="C10" s="52" t="s">
        <v>20</v>
      </c>
      <c r="D10" s="52" t="s">
        <v>21</v>
      </c>
    </row>
    <row r="11" spans="1:6" s="40" customFormat="1" ht="12.95" customHeight="1" x14ac:dyDescent="0.2">
      <c r="A11" s="40" t="s">
        <v>16</v>
      </c>
      <c r="C11" s="51">
        <f ca="1">INTERCEPT(INDIRECT($D$9):G992,INDIRECT($C$9):F992)</f>
        <v>-1.7601747777489112E-2</v>
      </c>
      <c r="D11" s="53"/>
    </row>
    <row r="12" spans="1:6" s="40" customFormat="1" ht="12.95" customHeight="1" x14ac:dyDescent="0.2">
      <c r="A12" s="40" t="s">
        <v>17</v>
      </c>
      <c r="C12" s="51">
        <f ca="1">SLOPE(INDIRECT($D$9):G992,INDIRECT($C$9):F992)</f>
        <v>7.2290223525652443E-8</v>
      </c>
      <c r="D12" s="53"/>
      <c r="E12" s="64" t="s">
        <v>134</v>
      </c>
      <c r="F12" s="65" t="s">
        <v>133</v>
      </c>
    </row>
    <row r="13" spans="1:6" s="40" customFormat="1" ht="12.95" customHeight="1" x14ac:dyDescent="0.2">
      <c r="A13" s="40" t="s">
        <v>19</v>
      </c>
      <c r="C13" s="53" t="s">
        <v>14</v>
      </c>
      <c r="E13" s="66" t="s">
        <v>54</v>
      </c>
      <c r="F13" s="67">
        <v>1</v>
      </c>
    </row>
    <row r="14" spans="1:6" s="40" customFormat="1" ht="12.95" customHeight="1" x14ac:dyDescent="0.2">
      <c r="E14" s="66" t="s">
        <v>47</v>
      </c>
      <c r="F14" s="68">
        <f ca="1">NOW()+15018.5+$C$5/24</f>
        <v>60520.75474733796</v>
      </c>
    </row>
    <row r="15" spans="1:6" s="40" customFormat="1" ht="12.95" customHeight="1" x14ac:dyDescent="0.2">
      <c r="A15" s="54" t="s">
        <v>18</v>
      </c>
      <c r="C15" s="55">
        <f ca="1">(C7+C11)+(C8+C12)*INT(MAX(F21:F3533))</f>
        <v>56905.363662792181</v>
      </c>
      <c r="E15" s="66" t="s">
        <v>55</v>
      </c>
      <c r="F15" s="68">
        <f ca="1">ROUND(2*(F14-$C$7)/$C$8,0)/2+F13</f>
        <v>52868</v>
      </c>
    </row>
    <row r="16" spans="1:6" s="40" customFormat="1" ht="12.95" customHeight="1" x14ac:dyDescent="0.2">
      <c r="A16" s="43" t="s">
        <v>4</v>
      </c>
      <c r="C16" s="57">
        <f ca="1">+C8+C12</f>
        <v>0.48148327229022353</v>
      </c>
      <c r="E16" s="66" t="s">
        <v>48</v>
      </c>
      <c r="F16" s="68">
        <f ca="1">ROUND(2*(F14-$C$15)/$C$16,0)/2+F13</f>
        <v>7510</v>
      </c>
    </row>
    <row r="17" spans="1:35" s="40" customFormat="1" ht="12.95" customHeight="1" thickBot="1" x14ac:dyDescent="0.25">
      <c r="A17" s="56" t="s">
        <v>42</v>
      </c>
      <c r="C17" s="40">
        <f>COUNT(C21:C2191)</f>
        <v>27</v>
      </c>
      <c r="E17" s="66" t="s">
        <v>135</v>
      </c>
      <c r="F17" s="69">
        <f ca="1">+$C$15+$C$16*$F$16-15018.5-$C$5/24</f>
        <v>45503.198871025095</v>
      </c>
    </row>
    <row r="18" spans="1:35" s="40" customFormat="1" ht="12.95" customHeight="1" thickTop="1" thickBot="1" x14ac:dyDescent="0.25">
      <c r="A18" s="43" t="s">
        <v>5</v>
      </c>
      <c r="C18" s="44">
        <f ca="1">+C15</f>
        <v>56905.363662792181</v>
      </c>
      <c r="D18" s="45">
        <f ca="1">+C16</f>
        <v>0.48148327229022353</v>
      </c>
      <c r="E18" s="71" t="s">
        <v>136</v>
      </c>
      <c r="F18" s="70">
        <f ca="1">+($C$15+$C$16*$F$16)-($C$16/2)-15018.5-$C$5/24</f>
        <v>45502.95812938895</v>
      </c>
    </row>
    <row r="19" spans="1:35" s="40" customFormat="1" ht="12.95" customHeight="1" thickTop="1" x14ac:dyDescent="0.2"/>
    <row r="20" spans="1:35" s="40" customFormat="1" ht="12.95" customHeight="1" thickBot="1" x14ac:dyDescent="0.25">
      <c r="A20" s="52" t="s">
        <v>6</v>
      </c>
      <c r="B20" s="52" t="s">
        <v>7</v>
      </c>
      <c r="C20" s="52" t="s">
        <v>8</v>
      </c>
      <c r="D20" s="52" t="s">
        <v>13</v>
      </c>
      <c r="E20" s="52" t="s">
        <v>9</v>
      </c>
      <c r="F20" s="52" t="s">
        <v>10</v>
      </c>
      <c r="G20" s="52" t="s">
        <v>11</v>
      </c>
      <c r="H20" s="58" t="s">
        <v>12</v>
      </c>
      <c r="I20" s="58" t="s">
        <v>68</v>
      </c>
      <c r="J20" s="58" t="s">
        <v>130</v>
      </c>
      <c r="K20" s="58" t="s">
        <v>60</v>
      </c>
      <c r="L20" s="58" t="s">
        <v>131</v>
      </c>
      <c r="M20" s="58" t="s">
        <v>25</v>
      </c>
      <c r="N20" s="58" t="s">
        <v>26</v>
      </c>
      <c r="O20" s="58" t="s">
        <v>23</v>
      </c>
      <c r="P20" s="59" t="s">
        <v>22</v>
      </c>
      <c r="Q20" s="52" t="s">
        <v>15</v>
      </c>
      <c r="U20" s="60" t="s">
        <v>53</v>
      </c>
    </row>
    <row r="21" spans="1:35" s="40" customFormat="1" ht="12.95" customHeight="1" x14ac:dyDescent="0.2">
      <c r="A21" s="40" t="s">
        <v>12</v>
      </c>
      <c r="B21" s="53"/>
      <c r="C21" s="61">
        <v>35066.262999999999</v>
      </c>
      <c r="D21" s="61" t="s">
        <v>14</v>
      </c>
      <c r="E21" s="40">
        <f t="shared" ref="E21:E47" si="0">+(C21-C$7)/C$8</f>
        <v>0</v>
      </c>
      <c r="F21" s="40">
        <f t="shared" ref="F21:F47" si="1">ROUND(2*E21,0)/2</f>
        <v>0</v>
      </c>
      <c r="G21" s="40">
        <f t="shared" ref="G21:G31" si="2">+C21-(C$7+F21*C$8)</f>
        <v>0</v>
      </c>
      <c r="H21" s="40">
        <f>+G21</f>
        <v>0</v>
      </c>
      <c r="O21" s="40">
        <f t="shared" ref="O21:O47" ca="1" si="3">+C$11+C$12*$F21</f>
        <v>-1.7601747777489112E-2</v>
      </c>
      <c r="Q21" s="62">
        <f t="shared" ref="Q21:Q47" si="4">+C21-15018.5</f>
        <v>20047.762999999999</v>
      </c>
    </row>
    <row r="22" spans="1:35" s="40" customFormat="1" ht="12.95" customHeight="1" x14ac:dyDescent="0.2">
      <c r="A22" s="40" t="s">
        <v>28</v>
      </c>
      <c r="B22" s="53"/>
      <c r="C22" s="61">
        <v>44461.428999999996</v>
      </c>
      <c r="D22" s="61"/>
      <c r="E22" s="40">
        <f t="shared" si="0"/>
        <v>19512.967430639321</v>
      </c>
      <c r="F22" s="40">
        <f t="shared" si="1"/>
        <v>19513</v>
      </c>
      <c r="G22" s="40">
        <f t="shared" si="2"/>
        <v>-1.5681600001698826E-2</v>
      </c>
      <c r="I22" s="40">
        <f>+G22</f>
        <v>-1.5681600001698826E-2</v>
      </c>
      <c r="O22" s="40">
        <f t="shared" ca="1" si="3"/>
        <v>-1.6191148645833056E-2</v>
      </c>
      <c r="Q22" s="62">
        <f t="shared" si="4"/>
        <v>29442.928999999996</v>
      </c>
      <c r="AE22" s="40">
        <v>7</v>
      </c>
      <c r="AG22" s="40" t="s">
        <v>27</v>
      </c>
      <c r="AI22" s="40" t="s">
        <v>29</v>
      </c>
    </row>
    <row r="23" spans="1:35" x14ac:dyDescent="0.2">
      <c r="A23" t="s">
        <v>34</v>
      </c>
      <c r="B23" s="3"/>
      <c r="C23" s="6">
        <v>50597.4542</v>
      </c>
      <c r="D23" s="6">
        <v>1.4E-3</v>
      </c>
      <c r="E23">
        <f t="shared" si="0"/>
        <v>32256.974282799485</v>
      </c>
      <c r="F23">
        <f t="shared" si="1"/>
        <v>32257</v>
      </c>
      <c r="G23">
        <f t="shared" si="2"/>
        <v>-1.2382399996567983E-2</v>
      </c>
      <c r="J23">
        <f t="shared" ref="J23:J30" si="5">+G23</f>
        <v>-1.2382399996567983E-2</v>
      </c>
      <c r="O23">
        <f t="shared" ca="1" si="3"/>
        <v>-1.5269882037222141E-2</v>
      </c>
      <c r="Q23" s="2">
        <f t="shared" si="4"/>
        <v>35578.9542</v>
      </c>
    </row>
    <row r="24" spans="1:35" x14ac:dyDescent="0.2">
      <c r="A24" t="s">
        <v>34</v>
      </c>
      <c r="B24" s="4"/>
      <c r="C24" s="6">
        <v>50624.415099999998</v>
      </c>
      <c r="D24" s="6">
        <v>1.4E-3</v>
      </c>
      <c r="E24">
        <f t="shared" si="0"/>
        <v>32312.969798323182</v>
      </c>
      <c r="F24">
        <f t="shared" si="1"/>
        <v>32313</v>
      </c>
      <c r="G24">
        <f t="shared" si="2"/>
        <v>-1.4541600001393817E-2</v>
      </c>
      <c r="J24">
        <f t="shared" si="5"/>
        <v>-1.4541600001393817E-2</v>
      </c>
      <c r="O24">
        <f t="shared" ca="1" si="3"/>
        <v>-1.5265833784704705E-2</v>
      </c>
      <c r="Q24" s="2">
        <f t="shared" si="4"/>
        <v>35605.915099999998</v>
      </c>
    </row>
    <row r="25" spans="1:35" x14ac:dyDescent="0.2">
      <c r="A25" t="s">
        <v>34</v>
      </c>
      <c r="B25" s="4"/>
      <c r="C25" s="6">
        <v>50662.454599999997</v>
      </c>
      <c r="D25" s="6">
        <v>6.8999999999999999E-3</v>
      </c>
      <c r="E25">
        <f t="shared" si="0"/>
        <v>32391.97463172131</v>
      </c>
      <c r="F25">
        <f t="shared" si="1"/>
        <v>32392</v>
      </c>
      <c r="G25">
        <f t="shared" si="2"/>
        <v>-1.2214400005177595E-2</v>
      </c>
      <c r="J25">
        <f t="shared" si="5"/>
        <v>-1.2214400005177595E-2</v>
      </c>
      <c r="O25">
        <f t="shared" ca="1" si="3"/>
        <v>-1.5260122857046178E-2</v>
      </c>
      <c r="Q25" s="2">
        <f t="shared" si="4"/>
        <v>35643.954599999997</v>
      </c>
    </row>
    <row r="26" spans="1:35" x14ac:dyDescent="0.2">
      <c r="A26" t="s">
        <v>35</v>
      </c>
      <c r="B26" s="3"/>
      <c r="C26" s="6">
        <v>50947.490100000003</v>
      </c>
      <c r="D26" s="6">
        <v>2.5000000000000001E-3</v>
      </c>
      <c r="E26">
        <f t="shared" si="0"/>
        <v>32983.96932644795</v>
      </c>
      <c r="F26">
        <f t="shared" si="1"/>
        <v>32984</v>
      </c>
      <c r="G26">
        <f t="shared" si="2"/>
        <v>-1.4768799992452841E-2</v>
      </c>
      <c r="J26">
        <f t="shared" si="5"/>
        <v>-1.4768799992452841E-2</v>
      </c>
      <c r="O26">
        <f t="shared" ca="1" si="3"/>
        <v>-1.5217327044718992E-2</v>
      </c>
      <c r="Q26" s="2">
        <f t="shared" si="4"/>
        <v>35928.990100000003</v>
      </c>
    </row>
    <row r="27" spans="1:35" x14ac:dyDescent="0.2">
      <c r="A27" t="s">
        <v>30</v>
      </c>
      <c r="B27" s="3"/>
      <c r="C27" s="6">
        <v>50988.415999999997</v>
      </c>
      <c r="D27" s="6">
        <v>1.2999999999999999E-3</v>
      </c>
      <c r="E27">
        <f t="shared" si="0"/>
        <v>33068.968969218447</v>
      </c>
      <c r="F27">
        <f t="shared" si="1"/>
        <v>33069</v>
      </c>
      <c r="G27">
        <f t="shared" si="2"/>
        <v>-1.4940799999749288E-2</v>
      </c>
      <c r="J27">
        <f t="shared" si="5"/>
        <v>-1.4940799999749288E-2</v>
      </c>
      <c r="O27">
        <f t="shared" ca="1" si="3"/>
        <v>-1.5211182375719312E-2</v>
      </c>
      <c r="Q27" s="2">
        <f t="shared" si="4"/>
        <v>35969.915999999997</v>
      </c>
      <c r="AE27">
        <v>10</v>
      </c>
      <c r="AG27" t="s">
        <v>27</v>
      </c>
      <c r="AI27" t="s">
        <v>29</v>
      </c>
    </row>
    <row r="28" spans="1:35" x14ac:dyDescent="0.2">
      <c r="A28" t="s">
        <v>30</v>
      </c>
      <c r="B28" s="3"/>
      <c r="C28" s="6">
        <v>51042.34</v>
      </c>
      <c r="D28" s="6">
        <v>8.9999999999999998E-4</v>
      </c>
      <c r="E28">
        <f t="shared" si="0"/>
        <v>33180.964569480304</v>
      </c>
      <c r="F28">
        <f t="shared" si="1"/>
        <v>33181</v>
      </c>
      <c r="G28">
        <f t="shared" si="2"/>
        <v>-1.705920000676997E-2</v>
      </c>
      <c r="J28">
        <f t="shared" si="5"/>
        <v>-1.705920000676997E-2</v>
      </c>
      <c r="O28">
        <f t="shared" ca="1" si="3"/>
        <v>-1.5203085870684439E-2</v>
      </c>
      <c r="Q28" s="2">
        <f t="shared" si="4"/>
        <v>36023.839999999997</v>
      </c>
      <c r="AE28">
        <v>22</v>
      </c>
      <c r="AG28" t="s">
        <v>31</v>
      </c>
      <c r="AI28" t="s">
        <v>29</v>
      </c>
    </row>
    <row r="29" spans="1:35" x14ac:dyDescent="0.2">
      <c r="A29" s="8" t="s">
        <v>35</v>
      </c>
      <c r="B29" s="9"/>
      <c r="C29" s="10">
        <v>51081.342499999999</v>
      </c>
      <c r="D29" s="10">
        <v>2.0999999999999999E-3</v>
      </c>
      <c r="E29">
        <f t="shared" si="0"/>
        <v>33261.969472662808</v>
      </c>
      <c r="F29">
        <f t="shared" si="1"/>
        <v>33262</v>
      </c>
      <c r="G29">
        <f t="shared" si="2"/>
        <v>-1.4698400002089329E-2</v>
      </c>
      <c r="J29">
        <f t="shared" si="5"/>
        <v>-1.4698400002089329E-2</v>
      </c>
      <c r="O29">
        <f t="shared" ca="1" si="3"/>
        <v>-1.519723036257886E-2</v>
      </c>
      <c r="Q29" s="2">
        <f t="shared" si="4"/>
        <v>36062.842499999999</v>
      </c>
    </row>
    <row r="30" spans="1:35" x14ac:dyDescent="0.2">
      <c r="A30" s="8" t="s">
        <v>32</v>
      </c>
      <c r="B30" s="11" t="s">
        <v>33</v>
      </c>
      <c r="C30" s="10">
        <v>51363.491900000001</v>
      </c>
      <c r="D30" s="10">
        <v>1.4E-3</v>
      </c>
      <c r="E30">
        <f t="shared" si="0"/>
        <v>33847.969981091766</v>
      </c>
      <c r="F30">
        <f t="shared" si="1"/>
        <v>33848</v>
      </c>
      <c r="G30">
        <f t="shared" si="2"/>
        <v>-1.4453600000706501E-2</v>
      </c>
      <c r="J30">
        <f t="shared" si="5"/>
        <v>-1.4453600000706501E-2</v>
      </c>
      <c r="O30">
        <f t="shared" ca="1" si="3"/>
        <v>-1.5154868291592828E-2</v>
      </c>
      <c r="Q30" s="2">
        <f t="shared" si="4"/>
        <v>36344.991900000001</v>
      </c>
    </row>
    <row r="31" spans="1:35" x14ac:dyDescent="0.2">
      <c r="A31" s="10" t="s">
        <v>51</v>
      </c>
      <c r="B31" s="11" t="s">
        <v>33</v>
      </c>
      <c r="C31" s="10">
        <v>51783.344779999999</v>
      </c>
      <c r="D31" s="10">
        <v>2.3999999999999998E-3</v>
      </c>
      <c r="E31">
        <f t="shared" si="0"/>
        <v>34719.96900411063</v>
      </c>
      <c r="F31">
        <f t="shared" si="1"/>
        <v>34720</v>
      </c>
      <c r="G31">
        <f t="shared" si="2"/>
        <v>-1.4924000002793036E-2</v>
      </c>
      <c r="K31">
        <f>G31</f>
        <v>-1.4924000002793036E-2</v>
      </c>
      <c r="O31">
        <f t="shared" ca="1" si="3"/>
        <v>-1.509183121667846E-2</v>
      </c>
      <c r="Q31" s="2">
        <f t="shared" si="4"/>
        <v>36764.844779999999</v>
      </c>
    </row>
    <row r="32" spans="1:35" x14ac:dyDescent="0.2">
      <c r="A32" s="12" t="s">
        <v>38</v>
      </c>
      <c r="B32" s="13" t="s">
        <v>33</v>
      </c>
      <c r="C32" s="10">
        <v>52506.328000000001</v>
      </c>
      <c r="D32" s="10">
        <v>1E-3</v>
      </c>
      <c r="E32">
        <f t="shared" si="0"/>
        <v>36221.544178488475</v>
      </c>
      <c r="F32">
        <f t="shared" si="1"/>
        <v>36221.5</v>
      </c>
      <c r="O32">
        <f t="shared" ca="1" si="3"/>
        <v>-1.4983287446054693E-2</v>
      </c>
      <c r="Q32" s="2">
        <f t="shared" si="4"/>
        <v>37487.828000000001</v>
      </c>
      <c r="U32" s="5">
        <v>2.1271199999318924E-2</v>
      </c>
    </row>
    <row r="33" spans="1:21" x14ac:dyDescent="0.2">
      <c r="A33" s="14" t="s">
        <v>40</v>
      </c>
      <c r="B33" s="15"/>
      <c r="C33" s="10">
        <v>52767.493300000002</v>
      </c>
      <c r="D33" s="10">
        <v>2.9999999999999997E-4</v>
      </c>
      <c r="E33">
        <f t="shared" si="0"/>
        <v>36763.962480933922</v>
      </c>
      <c r="F33">
        <f t="shared" si="1"/>
        <v>36764</v>
      </c>
      <c r="G33">
        <f t="shared" ref="G33:G38" si="6">+C33-(C$7+F33*C$8)</f>
        <v>-1.8064799995045178E-2</v>
      </c>
      <c r="K33">
        <f t="shared" ref="K33:K38" si="7">G33</f>
        <v>-1.8064799995045178E-2</v>
      </c>
      <c r="O33">
        <f t="shared" ca="1" si="3"/>
        <v>-1.4944069999792026E-2</v>
      </c>
      <c r="Q33" s="2">
        <f t="shared" si="4"/>
        <v>37748.993300000002</v>
      </c>
    </row>
    <row r="34" spans="1:21" x14ac:dyDescent="0.2">
      <c r="A34" s="14" t="s">
        <v>40</v>
      </c>
      <c r="B34" s="15"/>
      <c r="C34" s="10">
        <v>52876.556199999999</v>
      </c>
      <c r="D34" s="10">
        <v>1.6999999999999999E-3</v>
      </c>
      <c r="E34">
        <f t="shared" si="0"/>
        <v>36990.476926297742</v>
      </c>
      <c r="F34">
        <f t="shared" si="1"/>
        <v>36990.5</v>
      </c>
      <c r="G34">
        <f t="shared" si="6"/>
        <v>-1.1109599996416364E-2</v>
      </c>
      <c r="K34">
        <f t="shared" si="7"/>
        <v>-1.1109599996416364E-2</v>
      </c>
      <c r="O34">
        <f t="shared" ca="1" si="3"/>
        <v>-1.4927696264163466E-2</v>
      </c>
      <c r="Q34" s="2">
        <f t="shared" si="4"/>
        <v>37858.056199999999</v>
      </c>
    </row>
    <row r="35" spans="1:21" x14ac:dyDescent="0.2">
      <c r="A35" s="16" t="s">
        <v>36</v>
      </c>
      <c r="B35" s="11"/>
      <c r="C35" s="10">
        <v>53132.938099999999</v>
      </c>
      <c r="D35" s="10">
        <v>2.0000000000000001E-4</v>
      </c>
      <c r="E35">
        <f t="shared" si="0"/>
        <v>37522.96051035633</v>
      </c>
      <c r="F35">
        <f t="shared" si="1"/>
        <v>37523</v>
      </c>
      <c r="G35">
        <f t="shared" si="6"/>
        <v>-1.9013600001926534E-2</v>
      </c>
      <c r="K35">
        <f t="shared" si="7"/>
        <v>-1.9013600001926534E-2</v>
      </c>
      <c r="O35">
        <f t="shared" ca="1" si="3"/>
        <v>-1.4889201720136056E-2</v>
      </c>
      <c r="Q35" s="2">
        <f t="shared" si="4"/>
        <v>38114.438099999999</v>
      </c>
    </row>
    <row r="36" spans="1:21" x14ac:dyDescent="0.2">
      <c r="A36" s="17" t="s">
        <v>37</v>
      </c>
      <c r="B36" s="13" t="s">
        <v>33</v>
      </c>
      <c r="C36" s="10">
        <v>53170.495799999997</v>
      </c>
      <c r="D36" s="10">
        <v>3.8E-3</v>
      </c>
      <c r="E36">
        <f t="shared" si="0"/>
        <v>37600.964685787578</v>
      </c>
      <c r="F36">
        <f t="shared" si="1"/>
        <v>37601</v>
      </c>
      <c r="G36">
        <f t="shared" si="6"/>
        <v>-1.7003200002363883E-2</v>
      </c>
      <c r="K36">
        <f t="shared" si="7"/>
        <v>-1.7003200002363883E-2</v>
      </c>
      <c r="O36">
        <f t="shared" ca="1" si="3"/>
        <v>-1.4883563082701055E-2</v>
      </c>
      <c r="Q36" s="2">
        <f t="shared" si="4"/>
        <v>38151.995799999997</v>
      </c>
    </row>
    <row r="37" spans="1:21" x14ac:dyDescent="0.2">
      <c r="A37" s="10" t="s">
        <v>37</v>
      </c>
      <c r="B37" s="9" t="s">
        <v>33</v>
      </c>
      <c r="C37" s="18">
        <v>53170.495799999997</v>
      </c>
      <c r="D37" s="18">
        <v>3.8E-3</v>
      </c>
      <c r="E37">
        <f t="shared" si="0"/>
        <v>37600.964685787578</v>
      </c>
      <c r="F37">
        <f t="shared" si="1"/>
        <v>37601</v>
      </c>
      <c r="G37">
        <f t="shared" si="6"/>
        <v>-1.7003200002363883E-2</v>
      </c>
      <c r="K37">
        <f t="shared" si="7"/>
        <v>-1.7003200002363883E-2</v>
      </c>
      <c r="O37">
        <f t="shared" ca="1" si="3"/>
        <v>-1.4883563082701055E-2</v>
      </c>
      <c r="Q37" s="2">
        <f t="shared" si="4"/>
        <v>38151.995799999997</v>
      </c>
    </row>
    <row r="38" spans="1:21" x14ac:dyDescent="0.2">
      <c r="A38" s="12" t="s">
        <v>56</v>
      </c>
      <c r="B38" s="19" t="s">
        <v>33</v>
      </c>
      <c r="C38" s="12">
        <v>53265.349000000002</v>
      </c>
      <c r="D38" s="12">
        <v>3.0000000000000001E-3</v>
      </c>
      <c r="E38">
        <f t="shared" si="0"/>
        <v>37797.966782641641</v>
      </c>
      <c r="F38">
        <f t="shared" si="1"/>
        <v>37798</v>
      </c>
      <c r="G38">
        <f t="shared" si="6"/>
        <v>-1.5993599998182617E-2</v>
      </c>
      <c r="K38">
        <f t="shared" si="7"/>
        <v>-1.5993599998182617E-2</v>
      </c>
      <c r="O38">
        <f t="shared" ca="1" si="3"/>
        <v>-1.4869321908666501E-2</v>
      </c>
      <c r="Q38" s="2">
        <f t="shared" si="4"/>
        <v>38246.849000000002</v>
      </c>
    </row>
    <row r="39" spans="1:21" x14ac:dyDescent="0.2">
      <c r="A39" s="10" t="s">
        <v>51</v>
      </c>
      <c r="B39" s="11" t="s">
        <v>33</v>
      </c>
      <c r="C39" s="10">
        <v>53546.436990000002</v>
      </c>
      <c r="D39" s="10" t="s">
        <v>52</v>
      </c>
      <c r="E39">
        <f t="shared" si="0"/>
        <v>38381.762832015746</v>
      </c>
      <c r="F39">
        <f t="shared" si="1"/>
        <v>38382</v>
      </c>
      <c r="O39">
        <f t="shared" ca="1" si="3"/>
        <v>-1.4827104418127519E-2</v>
      </c>
      <c r="Q39" s="2">
        <f t="shared" si="4"/>
        <v>38527.936990000002</v>
      </c>
      <c r="U39" s="5">
        <v>-0.11419239999668207</v>
      </c>
    </row>
    <row r="40" spans="1:21" x14ac:dyDescent="0.2">
      <c r="A40" s="12" t="s">
        <v>56</v>
      </c>
      <c r="B40" s="19" t="s">
        <v>33</v>
      </c>
      <c r="C40" s="12">
        <v>53587.462</v>
      </c>
      <c r="D40" s="12">
        <v>2E-3</v>
      </c>
      <c r="E40">
        <f t="shared" si="0"/>
        <v>38466.968317897699</v>
      </c>
      <c r="F40">
        <f t="shared" si="1"/>
        <v>38467</v>
      </c>
      <c r="G40">
        <f t="shared" ref="G40:G47" si="8">+C40-(C$7+F40*C$8)</f>
        <v>-1.5254400001140311E-2</v>
      </c>
      <c r="K40">
        <f t="shared" ref="K40:K47" si="9">G40</f>
        <v>-1.5254400001140311E-2</v>
      </c>
      <c r="O40">
        <f t="shared" ca="1" si="3"/>
        <v>-1.4820959749127839E-2</v>
      </c>
      <c r="Q40" s="2">
        <f t="shared" si="4"/>
        <v>38568.962</v>
      </c>
    </row>
    <row r="41" spans="1:21" x14ac:dyDescent="0.2">
      <c r="A41" s="10" t="s">
        <v>44</v>
      </c>
      <c r="B41" s="9"/>
      <c r="C41" s="10">
        <v>53899.460599999999</v>
      </c>
      <c r="D41" s="10">
        <v>6.9999999999999999E-4</v>
      </c>
      <c r="E41">
        <f t="shared" si="0"/>
        <v>39114.963097362481</v>
      </c>
      <c r="F41">
        <f t="shared" si="1"/>
        <v>39115</v>
      </c>
      <c r="G41">
        <f t="shared" si="8"/>
        <v>-1.7767999997886363E-2</v>
      </c>
      <c r="K41">
        <f t="shared" si="9"/>
        <v>-1.7767999997886363E-2</v>
      </c>
      <c r="O41">
        <f t="shared" ca="1" si="3"/>
        <v>-1.4774115684283218E-2</v>
      </c>
      <c r="Q41" s="2">
        <f t="shared" si="4"/>
        <v>38880.960599999999</v>
      </c>
    </row>
    <row r="42" spans="1:21" x14ac:dyDescent="0.2">
      <c r="A42" s="20" t="s">
        <v>50</v>
      </c>
      <c r="B42" s="19"/>
      <c r="C42" s="10">
        <v>54217.964</v>
      </c>
      <c r="D42" s="10">
        <v>1E-3</v>
      </c>
      <c r="E42">
        <f t="shared" si="0"/>
        <v>39776.467797838013</v>
      </c>
      <c r="F42">
        <f t="shared" si="1"/>
        <v>39776.5</v>
      </c>
      <c r="G42">
        <f t="shared" si="8"/>
        <v>-1.5504799994232599E-2</v>
      </c>
      <c r="K42">
        <f t="shared" si="9"/>
        <v>-1.5504799994232599E-2</v>
      </c>
      <c r="O42">
        <f t="shared" ca="1" si="3"/>
        <v>-1.4726295701420998E-2</v>
      </c>
      <c r="Q42" s="2">
        <f t="shared" si="4"/>
        <v>39199.464</v>
      </c>
    </row>
    <row r="43" spans="1:21" x14ac:dyDescent="0.2">
      <c r="A43" s="37" t="s">
        <v>110</v>
      </c>
      <c r="B43" s="39" t="s">
        <v>33</v>
      </c>
      <c r="C43" s="38">
        <v>54339.535499999998</v>
      </c>
      <c r="D43" s="6"/>
      <c r="E43">
        <f t="shared" si="0"/>
        <v>40028.961550475695</v>
      </c>
      <c r="F43">
        <f t="shared" si="1"/>
        <v>40029</v>
      </c>
      <c r="G43">
        <f t="shared" si="8"/>
        <v>-1.8512800001190044E-2</v>
      </c>
      <c r="K43">
        <f t="shared" si="9"/>
        <v>-1.8512800001190044E-2</v>
      </c>
      <c r="O43">
        <f t="shared" ca="1" si="3"/>
        <v>-1.470804241998077E-2</v>
      </c>
      <c r="Q43" s="2">
        <f t="shared" si="4"/>
        <v>39321.035499999998</v>
      </c>
    </row>
    <row r="44" spans="1:21" x14ac:dyDescent="0.2">
      <c r="A44" s="37" t="s">
        <v>115</v>
      </c>
      <c r="B44" s="39" t="s">
        <v>33</v>
      </c>
      <c r="C44" s="38">
        <v>55797.471700000002</v>
      </c>
      <c r="D44" s="6"/>
      <c r="E44">
        <f t="shared" si="0"/>
        <v>43056.972081268883</v>
      </c>
      <c r="F44">
        <f t="shared" si="1"/>
        <v>43057</v>
      </c>
      <c r="G44">
        <f t="shared" si="8"/>
        <v>-1.3442399998893961E-2</v>
      </c>
      <c r="K44">
        <f t="shared" si="9"/>
        <v>-1.3442399998893961E-2</v>
      </c>
      <c r="O44">
        <f t="shared" ca="1" si="3"/>
        <v>-1.4489147623145095E-2</v>
      </c>
      <c r="Q44" s="2">
        <f t="shared" si="4"/>
        <v>40778.971700000002</v>
      </c>
    </row>
    <row r="45" spans="1:21" x14ac:dyDescent="0.2">
      <c r="A45" s="37" t="s">
        <v>115</v>
      </c>
      <c r="B45" s="39" t="s">
        <v>33</v>
      </c>
      <c r="C45" s="38">
        <v>55801.323299999996</v>
      </c>
      <c r="D45" s="6"/>
      <c r="E45">
        <f t="shared" si="0"/>
        <v>43064.971529640075</v>
      </c>
      <c r="F45">
        <f t="shared" si="1"/>
        <v>43065</v>
      </c>
      <c r="G45">
        <f t="shared" si="8"/>
        <v>-1.3708000005863141E-2</v>
      </c>
      <c r="K45">
        <f t="shared" si="9"/>
        <v>-1.3708000005863141E-2</v>
      </c>
      <c r="O45">
        <f t="shared" ca="1" si="3"/>
        <v>-1.4488569301356891E-2</v>
      </c>
      <c r="Q45" s="2">
        <f t="shared" si="4"/>
        <v>40782.823299999996</v>
      </c>
    </row>
    <row r="46" spans="1:21" x14ac:dyDescent="0.2">
      <c r="A46" s="37" t="s">
        <v>115</v>
      </c>
      <c r="B46" s="39" t="s">
        <v>129</v>
      </c>
      <c r="C46" s="38">
        <v>55801.567000000003</v>
      </c>
      <c r="D46" s="6"/>
      <c r="E46">
        <f t="shared" si="0"/>
        <v>43065.477673987385</v>
      </c>
      <c r="F46">
        <f t="shared" si="1"/>
        <v>43065.5</v>
      </c>
      <c r="G46">
        <f t="shared" si="8"/>
        <v>-1.0749599990958814E-2</v>
      </c>
      <c r="K46">
        <f t="shared" si="9"/>
        <v>-1.0749599990958814E-2</v>
      </c>
      <c r="O46">
        <f t="shared" ca="1" si="3"/>
        <v>-1.4488533156245126E-2</v>
      </c>
      <c r="Q46" s="2">
        <f t="shared" si="4"/>
        <v>40783.067000000003</v>
      </c>
    </row>
    <row r="47" spans="1:21" x14ac:dyDescent="0.2">
      <c r="A47" s="21" t="s">
        <v>57</v>
      </c>
      <c r="B47" s="22"/>
      <c r="C47" s="21">
        <v>56905.3675</v>
      </c>
      <c r="D47" s="21">
        <v>1.5E-3</v>
      </c>
      <c r="E47">
        <f t="shared" si="0"/>
        <v>45357.978222293117</v>
      </c>
      <c r="F47">
        <f t="shared" si="1"/>
        <v>45358</v>
      </c>
      <c r="G47">
        <f t="shared" si="8"/>
        <v>-1.0485600003448781E-2</v>
      </c>
      <c r="K47">
        <f t="shared" si="9"/>
        <v>-1.0485600003448781E-2</v>
      </c>
      <c r="O47">
        <f t="shared" ca="1" si="3"/>
        <v>-1.432280781881257E-2</v>
      </c>
      <c r="Q47" s="2">
        <f t="shared" si="4"/>
        <v>41886.8675</v>
      </c>
    </row>
    <row r="48" spans="1:21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7"/>
  <sheetViews>
    <sheetView workbookViewId="0">
      <selection activeCell="A19" sqref="A19:C22"/>
    </sheetView>
  </sheetViews>
  <sheetFormatPr defaultRowHeight="12.75" x14ac:dyDescent="0.2"/>
  <cols>
    <col min="1" max="1" width="19.7109375" style="24" customWidth="1"/>
    <col min="2" max="2" width="4.42578125" style="7" customWidth="1"/>
    <col min="3" max="3" width="12.7109375" style="24" customWidth="1"/>
    <col min="4" max="4" width="5.42578125" style="7" customWidth="1"/>
    <col min="5" max="5" width="14.85546875" style="7" customWidth="1"/>
    <col min="6" max="6" width="9.140625" style="7"/>
    <col min="7" max="7" width="12" style="7" customWidth="1"/>
    <col min="8" max="8" width="14.140625" style="24" customWidth="1"/>
    <col min="9" max="9" width="22.5703125" style="7" customWidth="1"/>
    <col min="10" max="10" width="25.140625" style="7" customWidth="1"/>
    <col min="11" max="11" width="15.7109375" style="7" customWidth="1"/>
    <col min="12" max="12" width="14.140625" style="7" customWidth="1"/>
    <col min="13" max="13" width="9.5703125" style="7" customWidth="1"/>
    <col min="14" max="14" width="14.140625" style="7" customWidth="1"/>
    <col min="15" max="15" width="23.42578125" style="7" customWidth="1"/>
    <col min="16" max="16" width="16.5703125" style="7" customWidth="1"/>
    <col min="17" max="17" width="41" style="7" customWidth="1"/>
    <col min="18" max="16384" width="9.140625" style="7"/>
  </cols>
  <sheetData>
    <row r="1" spans="1:16" ht="15.75" x14ac:dyDescent="0.25">
      <c r="A1" s="23" t="s">
        <v>58</v>
      </c>
      <c r="I1" s="25" t="s">
        <v>59</v>
      </c>
      <c r="J1" s="26" t="s">
        <v>60</v>
      </c>
    </row>
    <row r="2" spans="1:16" x14ac:dyDescent="0.2">
      <c r="I2" s="27" t="s">
        <v>61</v>
      </c>
      <c r="J2" s="28" t="s">
        <v>62</v>
      </c>
    </row>
    <row r="3" spans="1:16" x14ac:dyDescent="0.2">
      <c r="A3" s="29" t="s">
        <v>63</v>
      </c>
      <c r="I3" s="27" t="s">
        <v>64</v>
      </c>
      <c r="J3" s="28" t="s">
        <v>65</v>
      </c>
    </row>
    <row r="4" spans="1:16" x14ac:dyDescent="0.2">
      <c r="I4" s="27" t="s">
        <v>66</v>
      </c>
      <c r="J4" s="28" t="s">
        <v>65</v>
      </c>
    </row>
    <row r="5" spans="1:16" ht="13.5" thickBot="1" x14ac:dyDescent="0.25">
      <c r="I5" s="30" t="s">
        <v>67</v>
      </c>
      <c r="J5" s="31" t="s">
        <v>68</v>
      </c>
    </row>
    <row r="10" spans="1:16" ht="13.5" thickBot="1" x14ac:dyDescent="0.25"/>
    <row r="11" spans="1:16" ht="12.75" customHeight="1" thickBot="1" x14ac:dyDescent="0.25">
      <c r="A11" s="24" t="str">
        <f t="shared" ref="A11:A22" si="0">P11</f>
        <v>OEJV 0074 </v>
      </c>
      <c r="B11" s="3" t="str">
        <f t="shared" ref="B11:B22" si="1">IF(H11=INT(H11),"I","II")</f>
        <v>I</v>
      </c>
      <c r="C11" s="24">
        <f t="shared" ref="C11:C22" si="2">1*G11</f>
        <v>51783.344779999999</v>
      </c>
      <c r="D11" s="7" t="str">
        <f t="shared" ref="D11:D22" si="3">VLOOKUP(F11,I$1:J$5,2,FALSE)</f>
        <v>vis</v>
      </c>
      <c r="E11" s="32">
        <f>VLOOKUP(C11,Active!C$21:E$973,3,FALSE)</f>
        <v>34719.96900411063</v>
      </c>
      <c r="F11" s="3" t="s">
        <v>67</v>
      </c>
      <c r="G11" s="7" t="str">
        <f t="shared" ref="G11:G22" si="4">MID(I11,3,LEN(I11)-3)</f>
        <v>51783.34478</v>
      </c>
      <c r="H11" s="24">
        <f t="shared" ref="H11:H22" si="5">1*K11</f>
        <v>34720</v>
      </c>
      <c r="I11" s="33" t="s">
        <v>69</v>
      </c>
      <c r="J11" s="34" t="s">
        <v>70</v>
      </c>
      <c r="K11" s="33">
        <v>34720</v>
      </c>
      <c r="L11" s="33" t="s">
        <v>71</v>
      </c>
      <c r="M11" s="34" t="s">
        <v>72</v>
      </c>
      <c r="N11" s="34" t="s">
        <v>73</v>
      </c>
      <c r="O11" s="35" t="s">
        <v>74</v>
      </c>
      <c r="P11" s="36" t="s">
        <v>75</v>
      </c>
    </row>
    <row r="12" spans="1:16" ht="12.75" customHeight="1" thickBot="1" x14ac:dyDescent="0.25">
      <c r="A12" s="24" t="str">
        <f t="shared" si="0"/>
        <v>BAVM 172 </v>
      </c>
      <c r="B12" s="3" t="str">
        <f t="shared" si="1"/>
        <v>I</v>
      </c>
      <c r="C12" s="24">
        <f t="shared" si="2"/>
        <v>52767.493300000002</v>
      </c>
      <c r="D12" s="7" t="str">
        <f t="shared" si="3"/>
        <v>vis</v>
      </c>
      <c r="E12" s="32">
        <f>VLOOKUP(C12,Active!C$21:E$973,3,FALSE)</f>
        <v>36763.962480933922</v>
      </c>
      <c r="F12" s="3" t="s">
        <v>67</v>
      </c>
      <c r="G12" s="7" t="str">
        <f t="shared" si="4"/>
        <v>52767.4933</v>
      </c>
      <c r="H12" s="24">
        <f t="shared" si="5"/>
        <v>36764</v>
      </c>
      <c r="I12" s="33" t="s">
        <v>76</v>
      </c>
      <c r="J12" s="34" t="s">
        <v>77</v>
      </c>
      <c r="K12" s="33">
        <v>36764</v>
      </c>
      <c r="L12" s="33" t="s">
        <v>78</v>
      </c>
      <c r="M12" s="34" t="s">
        <v>79</v>
      </c>
      <c r="N12" s="34" t="s">
        <v>73</v>
      </c>
      <c r="O12" s="35" t="s">
        <v>80</v>
      </c>
      <c r="P12" s="36" t="s">
        <v>81</v>
      </c>
    </row>
    <row r="13" spans="1:16" ht="12.75" customHeight="1" thickBot="1" x14ac:dyDescent="0.25">
      <c r="A13" s="24" t="str">
        <f t="shared" si="0"/>
        <v>BAVM 172 </v>
      </c>
      <c r="B13" s="3" t="str">
        <f t="shared" si="1"/>
        <v>II</v>
      </c>
      <c r="C13" s="24">
        <f t="shared" si="2"/>
        <v>52876.556199999999</v>
      </c>
      <c r="D13" s="7" t="str">
        <f t="shared" si="3"/>
        <v>vis</v>
      </c>
      <c r="E13" s="32">
        <f>VLOOKUP(C13,Active!C$21:E$973,3,FALSE)</f>
        <v>36990.476926297742</v>
      </c>
      <c r="F13" s="3" t="s">
        <v>67</v>
      </c>
      <c r="G13" s="7" t="str">
        <f t="shared" si="4"/>
        <v>52876.5562</v>
      </c>
      <c r="H13" s="24">
        <f t="shared" si="5"/>
        <v>36990.5</v>
      </c>
      <c r="I13" s="33" t="s">
        <v>82</v>
      </c>
      <c r="J13" s="34" t="s">
        <v>83</v>
      </c>
      <c r="K13" s="33">
        <v>36990.5</v>
      </c>
      <c r="L13" s="33" t="s">
        <v>84</v>
      </c>
      <c r="M13" s="34" t="s">
        <v>79</v>
      </c>
      <c r="N13" s="34" t="s">
        <v>73</v>
      </c>
      <c r="O13" s="35" t="s">
        <v>85</v>
      </c>
      <c r="P13" s="36" t="s">
        <v>81</v>
      </c>
    </row>
    <row r="14" spans="1:16" ht="12.75" customHeight="1" thickBot="1" x14ac:dyDescent="0.25">
      <c r="A14" s="24" t="str">
        <f t="shared" si="0"/>
        <v>OEJV 0003 </v>
      </c>
      <c r="B14" s="3" t="str">
        <f t="shared" si="1"/>
        <v>I</v>
      </c>
      <c r="C14" s="24">
        <f t="shared" si="2"/>
        <v>53265.349000000002</v>
      </c>
      <c r="D14" s="7" t="str">
        <f t="shared" si="3"/>
        <v>vis</v>
      </c>
      <c r="E14" s="32">
        <f>VLOOKUP(C14,Active!C$21:E$973,3,FALSE)</f>
        <v>37797.966782641641</v>
      </c>
      <c r="F14" s="3" t="s">
        <v>67</v>
      </c>
      <c r="G14" s="7" t="str">
        <f t="shared" si="4"/>
        <v>53265.349</v>
      </c>
      <c r="H14" s="24">
        <f t="shared" si="5"/>
        <v>37798</v>
      </c>
      <c r="I14" s="33" t="s">
        <v>86</v>
      </c>
      <c r="J14" s="34" t="s">
        <v>87</v>
      </c>
      <c r="K14" s="33">
        <v>37798</v>
      </c>
      <c r="L14" s="33" t="s">
        <v>88</v>
      </c>
      <c r="M14" s="34" t="s">
        <v>89</v>
      </c>
      <c r="N14" s="34"/>
      <c r="O14" s="35" t="s">
        <v>90</v>
      </c>
      <c r="P14" s="36" t="s">
        <v>91</v>
      </c>
    </row>
    <row r="15" spans="1:16" ht="12.75" customHeight="1" thickBot="1" x14ac:dyDescent="0.25">
      <c r="A15" s="24" t="str">
        <f t="shared" si="0"/>
        <v>OEJV 0003 </v>
      </c>
      <c r="B15" s="3" t="str">
        <f t="shared" si="1"/>
        <v>I</v>
      </c>
      <c r="C15" s="24">
        <f t="shared" si="2"/>
        <v>53587.462</v>
      </c>
      <c r="D15" s="7" t="str">
        <f t="shared" si="3"/>
        <v>vis</v>
      </c>
      <c r="E15" s="32">
        <f>VLOOKUP(C15,Active!C$21:E$973,3,FALSE)</f>
        <v>38466.968317897699</v>
      </c>
      <c r="F15" s="3" t="s">
        <v>67</v>
      </c>
      <c r="G15" s="7" t="str">
        <f t="shared" si="4"/>
        <v>53587.462</v>
      </c>
      <c r="H15" s="24">
        <f t="shared" si="5"/>
        <v>38467</v>
      </c>
      <c r="I15" s="33" t="s">
        <v>92</v>
      </c>
      <c r="J15" s="34" t="s">
        <v>93</v>
      </c>
      <c r="K15" s="33">
        <v>38467</v>
      </c>
      <c r="L15" s="33" t="s">
        <v>94</v>
      </c>
      <c r="M15" s="34" t="s">
        <v>89</v>
      </c>
      <c r="N15" s="34"/>
      <c r="O15" s="35" t="s">
        <v>90</v>
      </c>
      <c r="P15" s="36" t="s">
        <v>91</v>
      </c>
    </row>
    <row r="16" spans="1:16" ht="12.75" customHeight="1" thickBot="1" x14ac:dyDescent="0.25">
      <c r="A16" s="24" t="str">
        <f t="shared" si="0"/>
        <v>BAVM 178 </v>
      </c>
      <c r="B16" s="3" t="str">
        <f t="shared" si="1"/>
        <v>I</v>
      </c>
      <c r="C16" s="24">
        <f t="shared" si="2"/>
        <v>53899.460599999999</v>
      </c>
      <c r="D16" s="7" t="str">
        <f t="shared" si="3"/>
        <v>vis</v>
      </c>
      <c r="E16" s="32">
        <f>VLOOKUP(C16,Active!C$21:E$973,3,FALSE)</f>
        <v>39114.963097362481</v>
      </c>
      <c r="F16" s="3" t="s">
        <v>67</v>
      </c>
      <c r="G16" s="7" t="str">
        <f t="shared" si="4"/>
        <v>53899.4606</v>
      </c>
      <c r="H16" s="24">
        <f t="shared" si="5"/>
        <v>39115</v>
      </c>
      <c r="I16" s="33" t="s">
        <v>95</v>
      </c>
      <c r="J16" s="34" t="s">
        <v>96</v>
      </c>
      <c r="K16" s="33">
        <v>39115</v>
      </c>
      <c r="L16" s="33" t="s">
        <v>97</v>
      </c>
      <c r="M16" s="34" t="s">
        <v>72</v>
      </c>
      <c r="N16" s="34" t="s">
        <v>98</v>
      </c>
      <c r="O16" s="35" t="s">
        <v>85</v>
      </c>
      <c r="P16" s="36" t="s">
        <v>99</v>
      </c>
    </row>
    <row r="17" spans="1:16" ht="12.75" customHeight="1" thickBot="1" x14ac:dyDescent="0.25">
      <c r="A17" s="24" t="str">
        <f t="shared" si="0"/>
        <v>IBVS 5820 </v>
      </c>
      <c r="B17" s="3" t="str">
        <f t="shared" si="1"/>
        <v>II</v>
      </c>
      <c r="C17" s="24">
        <f t="shared" si="2"/>
        <v>54217.964</v>
      </c>
      <c r="D17" s="7" t="str">
        <f t="shared" si="3"/>
        <v>vis</v>
      </c>
      <c r="E17" s="32">
        <f>VLOOKUP(C17,Active!C$21:E$973,3,FALSE)</f>
        <v>39776.467797838013</v>
      </c>
      <c r="F17" s="3" t="s">
        <v>67</v>
      </c>
      <c r="G17" s="7" t="str">
        <f t="shared" si="4"/>
        <v>54217.964</v>
      </c>
      <c r="H17" s="24">
        <f t="shared" si="5"/>
        <v>39776.5</v>
      </c>
      <c r="I17" s="33" t="s">
        <v>100</v>
      </c>
      <c r="J17" s="34" t="s">
        <v>101</v>
      </c>
      <c r="K17" s="33" t="s">
        <v>102</v>
      </c>
      <c r="L17" s="33" t="s">
        <v>88</v>
      </c>
      <c r="M17" s="34" t="s">
        <v>72</v>
      </c>
      <c r="N17" s="34" t="s">
        <v>103</v>
      </c>
      <c r="O17" s="35" t="s">
        <v>104</v>
      </c>
      <c r="P17" s="36" t="s">
        <v>105</v>
      </c>
    </row>
    <row r="18" spans="1:16" ht="12.75" customHeight="1" thickBot="1" x14ac:dyDescent="0.25">
      <c r="A18" s="24" t="str">
        <f t="shared" si="0"/>
        <v>BAVM 239 </v>
      </c>
      <c r="B18" s="3" t="str">
        <f t="shared" si="1"/>
        <v>I</v>
      </c>
      <c r="C18" s="24">
        <f t="shared" si="2"/>
        <v>56905.3675</v>
      </c>
      <c r="D18" s="7" t="str">
        <f t="shared" si="3"/>
        <v>vis</v>
      </c>
      <c r="E18" s="32">
        <f>VLOOKUP(C18,Active!C$21:E$973,3,FALSE)</f>
        <v>45357.978222293117</v>
      </c>
      <c r="F18" s="3" t="s">
        <v>67</v>
      </c>
      <c r="G18" s="7" t="str">
        <f t="shared" si="4"/>
        <v>56905.3675</v>
      </c>
      <c r="H18" s="24">
        <f t="shared" si="5"/>
        <v>45358</v>
      </c>
      <c r="I18" s="33" t="s">
        <v>124</v>
      </c>
      <c r="J18" s="34" t="s">
        <v>125</v>
      </c>
      <c r="K18" s="33" t="s">
        <v>126</v>
      </c>
      <c r="L18" s="33" t="s">
        <v>127</v>
      </c>
      <c r="M18" s="34" t="s">
        <v>72</v>
      </c>
      <c r="N18" s="34" t="s">
        <v>98</v>
      </c>
      <c r="O18" s="35" t="s">
        <v>85</v>
      </c>
      <c r="P18" s="36" t="s">
        <v>128</v>
      </c>
    </row>
    <row r="19" spans="1:16" ht="12.75" customHeight="1" thickBot="1" x14ac:dyDescent="0.25">
      <c r="A19" s="24" t="str">
        <f t="shared" si="0"/>
        <v>BAVM 193 </v>
      </c>
      <c r="B19" s="3" t="str">
        <f t="shared" si="1"/>
        <v>I</v>
      </c>
      <c r="C19" s="24">
        <f t="shared" si="2"/>
        <v>54339.535499999998</v>
      </c>
      <c r="D19" s="7" t="str">
        <f t="shared" si="3"/>
        <v>vis</v>
      </c>
      <c r="E19" s="32">
        <f>VLOOKUP(C19,Active!C$21:E$973,3,FALSE)</f>
        <v>40028.961550475695</v>
      </c>
      <c r="F19" s="3" t="s">
        <v>67</v>
      </c>
      <c r="G19" s="7" t="str">
        <f t="shared" si="4"/>
        <v>54339.5355</v>
      </c>
      <c r="H19" s="24">
        <f t="shared" si="5"/>
        <v>40029</v>
      </c>
      <c r="I19" s="33" t="s">
        <v>106</v>
      </c>
      <c r="J19" s="34" t="s">
        <v>107</v>
      </c>
      <c r="K19" s="33" t="s">
        <v>108</v>
      </c>
      <c r="L19" s="33" t="s">
        <v>109</v>
      </c>
      <c r="M19" s="34" t="s">
        <v>72</v>
      </c>
      <c r="N19" s="34" t="s">
        <v>98</v>
      </c>
      <c r="O19" s="35" t="s">
        <v>85</v>
      </c>
      <c r="P19" s="36" t="s">
        <v>110</v>
      </c>
    </row>
    <row r="20" spans="1:16" ht="12.75" customHeight="1" thickBot="1" x14ac:dyDescent="0.25">
      <c r="A20" s="24" t="str">
        <f t="shared" si="0"/>
        <v>BAVM 225 </v>
      </c>
      <c r="B20" s="3" t="str">
        <f t="shared" si="1"/>
        <v>I</v>
      </c>
      <c r="C20" s="24">
        <f t="shared" si="2"/>
        <v>55797.471700000002</v>
      </c>
      <c r="D20" s="7" t="str">
        <f t="shared" si="3"/>
        <v>vis</v>
      </c>
      <c r="E20" s="32">
        <f>VLOOKUP(C20,Active!C$21:E$973,3,FALSE)</f>
        <v>43056.972081268883</v>
      </c>
      <c r="F20" s="3" t="s">
        <v>67</v>
      </c>
      <c r="G20" s="7" t="str">
        <f t="shared" si="4"/>
        <v>55797.4717</v>
      </c>
      <c r="H20" s="24">
        <f t="shared" si="5"/>
        <v>43057</v>
      </c>
      <c r="I20" s="33" t="s">
        <v>111</v>
      </c>
      <c r="J20" s="34" t="s">
        <v>112</v>
      </c>
      <c r="K20" s="33" t="s">
        <v>113</v>
      </c>
      <c r="L20" s="33" t="s">
        <v>114</v>
      </c>
      <c r="M20" s="34" t="s">
        <v>72</v>
      </c>
      <c r="N20" s="34" t="s">
        <v>98</v>
      </c>
      <c r="O20" s="35" t="s">
        <v>85</v>
      </c>
      <c r="P20" s="36" t="s">
        <v>115</v>
      </c>
    </row>
    <row r="21" spans="1:16" ht="12.75" customHeight="1" thickBot="1" x14ac:dyDescent="0.25">
      <c r="A21" s="24" t="str">
        <f t="shared" si="0"/>
        <v>BAVM 225 </v>
      </c>
      <c r="B21" s="3" t="str">
        <f t="shared" si="1"/>
        <v>I</v>
      </c>
      <c r="C21" s="24">
        <f t="shared" si="2"/>
        <v>55801.323299999996</v>
      </c>
      <c r="D21" s="7" t="str">
        <f t="shared" si="3"/>
        <v>vis</v>
      </c>
      <c r="E21" s="32">
        <f>VLOOKUP(C21,Active!C$21:E$973,3,FALSE)</f>
        <v>43064.971529640075</v>
      </c>
      <c r="F21" s="3" t="s">
        <v>67</v>
      </c>
      <c r="G21" s="7" t="str">
        <f t="shared" si="4"/>
        <v>55801.3233</v>
      </c>
      <c r="H21" s="24">
        <f t="shared" si="5"/>
        <v>43065</v>
      </c>
      <c r="I21" s="33" t="s">
        <v>116</v>
      </c>
      <c r="J21" s="34" t="s">
        <v>117</v>
      </c>
      <c r="K21" s="33" t="s">
        <v>118</v>
      </c>
      <c r="L21" s="33" t="s">
        <v>119</v>
      </c>
      <c r="M21" s="34" t="s">
        <v>72</v>
      </c>
      <c r="N21" s="34" t="s">
        <v>98</v>
      </c>
      <c r="O21" s="35" t="s">
        <v>85</v>
      </c>
      <c r="P21" s="36" t="s">
        <v>115</v>
      </c>
    </row>
    <row r="22" spans="1:16" ht="12.75" customHeight="1" thickBot="1" x14ac:dyDescent="0.25">
      <c r="A22" s="24" t="str">
        <f t="shared" si="0"/>
        <v>BAVM 225 </v>
      </c>
      <c r="B22" s="3" t="str">
        <f t="shared" si="1"/>
        <v>II</v>
      </c>
      <c r="C22" s="24">
        <f t="shared" si="2"/>
        <v>55801.567000000003</v>
      </c>
      <c r="D22" s="7" t="str">
        <f t="shared" si="3"/>
        <v>vis</v>
      </c>
      <c r="E22" s="32">
        <f>VLOOKUP(C22,Active!C$21:E$973,3,FALSE)</f>
        <v>43065.477673987385</v>
      </c>
      <c r="F22" s="3" t="s">
        <v>67</v>
      </c>
      <c r="G22" s="7" t="str">
        <f t="shared" si="4"/>
        <v>55801.5670</v>
      </c>
      <c r="H22" s="24">
        <f t="shared" si="5"/>
        <v>43065.5</v>
      </c>
      <c r="I22" s="33" t="s">
        <v>120</v>
      </c>
      <c r="J22" s="34" t="s">
        <v>121</v>
      </c>
      <c r="K22" s="33" t="s">
        <v>122</v>
      </c>
      <c r="L22" s="33" t="s">
        <v>123</v>
      </c>
      <c r="M22" s="34" t="s">
        <v>72</v>
      </c>
      <c r="N22" s="34" t="s">
        <v>98</v>
      </c>
      <c r="O22" s="35" t="s">
        <v>85</v>
      </c>
      <c r="P22" s="36" t="s">
        <v>115</v>
      </c>
    </row>
    <row r="23" spans="1:16" x14ac:dyDescent="0.2">
      <c r="B23" s="3"/>
      <c r="E23" s="32"/>
      <c r="F23" s="3"/>
    </row>
    <row r="24" spans="1:16" x14ac:dyDescent="0.2">
      <c r="B24" s="3"/>
      <c r="E24" s="32"/>
      <c r="F24" s="3"/>
    </row>
    <row r="25" spans="1:16" x14ac:dyDescent="0.2">
      <c r="B25" s="3"/>
      <c r="E25" s="32"/>
      <c r="F25" s="3"/>
    </row>
    <row r="26" spans="1:16" x14ac:dyDescent="0.2">
      <c r="B26" s="3"/>
      <c r="E26" s="32"/>
      <c r="F26" s="3"/>
    </row>
    <row r="27" spans="1:16" x14ac:dyDescent="0.2">
      <c r="B27" s="3"/>
      <c r="E27" s="32"/>
      <c r="F27" s="3"/>
    </row>
    <row r="28" spans="1:16" x14ac:dyDescent="0.2">
      <c r="B28" s="3"/>
      <c r="E28" s="32"/>
      <c r="F28" s="3"/>
    </row>
    <row r="29" spans="1:16" x14ac:dyDescent="0.2">
      <c r="B29" s="3"/>
      <c r="E29" s="32"/>
      <c r="F29" s="3"/>
    </row>
    <row r="30" spans="1:16" x14ac:dyDescent="0.2">
      <c r="B30" s="3"/>
      <c r="E30" s="32"/>
      <c r="F30" s="3"/>
    </row>
    <row r="31" spans="1:16" x14ac:dyDescent="0.2">
      <c r="B31" s="3"/>
      <c r="E31" s="32"/>
      <c r="F31" s="3"/>
    </row>
    <row r="32" spans="1:16" x14ac:dyDescent="0.2">
      <c r="B32" s="3"/>
      <c r="E32" s="32"/>
      <c r="F32" s="3"/>
    </row>
    <row r="33" spans="2:6" x14ac:dyDescent="0.2">
      <c r="B33" s="3"/>
      <c r="E33" s="32"/>
      <c r="F33" s="3"/>
    </row>
    <row r="34" spans="2:6" x14ac:dyDescent="0.2">
      <c r="B34" s="3"/>
      <c r="E34" s="32"/>
      <c r="F34" s="3"/>
    </row>
    <row r="35" spans="2:6" x14ac:dyDescent="0.2">
      <c r="B35" s="3"/>
      <c r="E35" s="32"/>
      <c r="F35" s="3"/>
    </row>
    <row r="36" spans="2:6" x14ac:dyDescent="0.2">
      <c r="B36" s="3"/>
      <c r="E36" s="32"/>
      <c r="F36" s="3"/>
    </row>
    <row r="37" spans="2:6" x14ac:dyDescent="0.2">
      <c r="B37" s="3"/>
      <c r="E37" s="32"/>
      <c r="F37" s="3"/>
    </row>
    <row r="38" spans="2:6" x14ac:dyDescent="0.2">
      <c r="B38" s="3"/>
      <c r="E38" s="32"/>
      <c r="F38" s="3"/>
    </row>
    <row r="39" spans="2:6" x14ac:dyDescent="0.2">
      <c r="B39" s="3"/>
      <c r="E39" s="32"/>
      <c r="F39" s="3"/>
    </row>
    <row r="40" spans="2:6" x14ac:dyDescent="0.2">
      <c r="B40" s="3"/>
      <c r="E40" s="32"/>
      <c r="F40" s="3"/>
    </row>
    <row r="41" spans="2:6" x14ac:dyDescent="0.2">
      <c r="B41" s="3"/>
      <c r="E41" s="32"/>
      <c r="F41" s="3"/>
    </row>
    <row r="42" spans="2:6" x14ac:dyDescent="0.2">
      <c r="B42" s="3"/>
      <c r="E42" s="32"/>
      <c r="F42" s="3"/>
    </row>
    <row r="43" spans="2:6" x14ac:dyDescent="0.2">
      <c r="B43" s="3"/>
      <c r="E43" s="32"/>
      <c r="F43" s="3"/>
    </row>
    <row r="44" spans="2:6" x14ac:dyDescent="0.2">
      <c r="B44" s="3"/>
      <c r="E44" s="32"/>
      <c r="F44" s="3"/>
    </row>
    <row r="45" spans="2:6" x14ac:dyDescent="0.2">
      <c r="B45" s="3"/>
      <c r="E45" s="32"/>
      <c r="F45" s="3"/>
    </row>
    <row r="46" spans="2:6" x14ac:dyDescent="0.2">
      <c r="B46" s="3"/>
      <c r="E46" s="32"/>
      <c r="F46" s="3"/>
    </row>
    <row r="47" spans="2:6" x14ac:dyDescent="0.2">
      <c r="B47" s="3"/>
      <c r="E47" s="32"/>
      <c r="F47" s="3"/>
    </row>
    <row r="48" spans="2:6" x14ac:dyDescent="0.2">
      <c r="B48" s="3"/>
      <c r="E48" s="32"/>
      <c r="F48" s="3"/>
    </row>
    <row r="49" spans="2:6" x14ac:dyDescent="0.2">
      <c r="B49" s="3"/>
      <c r="E49" s="32"/>
      <c r="F49" s="3"/>
    </row>
    <row r="50" spans="2:6" x14ac:dyDescent="0.2">
      <c r="B50" s="3"/>
      <c r="E50" s="32"/>
      <c r="F50" s="3"/>
    </row>
    <row r="51" spans="2:6" x14ac:dyDescent="0.2">
      <c r="B51" s="3"/>
      <c r="E51" s="32"/>
      <c r="F51" s="3"/>
    </row>
    <row r="52" spans="2:6" x14ac:dyDescent="0.2">
      <c r="B52" s="3"/>
      <c r="E52" s="32"/>
      <c r="F52" s="3"/>
    </row>
    <row r="53" spans="2:6" x14ac:dyDescent="0.2">
      <c r="B53" s="3"/>
      <c r="E53" s="32"/>
      <c r="F53" s="3"/>
    </row>
    <row r="54" spans="2:6" x14ac:dyDescent="0.2">
      <c r="B54" s="3"/>
      <c r="E54" s="32"/>
      <c r="F54" s="3"/>
    </row>
    <row r="55" spans="2:6" x14ac:dyDescent="0.2">
      <c r="B55" s="3"/>
      <c r="E55" s="32"/>
      <c r="F55" s="3"/>
    </row>
    <row r="56" spans="2:6" x14ac:dyDescent="0.2">
      <c r="B56" s="3"/>
      <c r="E56" s="32"/>
      <c r="F56" s="3"/>
    </row>
    <row r="57" spans="2:6" x14ac:dyDescent="0.2">
      <c r="B57" s="3"/>
      <c r="E57" s="32"/>
      <c r="F57" s="3"/>
    </row>
    <row r="58" spans="2:6" x14ac:dyDescent="0.2">
      <c r="B58" s="3"/>
      <c r="E58" s="32"/>
      <c r="F58" s="3"/>
    </row>
    <row r="59" spans="2:6" x14ac:dyDescent="0.2">
      <c r="B59" s="3"/>
      <c r="E59" s="32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</sheetData>
  <phoneticPr fontId="7" type="noConversion"/>
  <hyperlinks>
    <hyperlink ref="P11" r:id="rId1" display="http://var.astro.cz/oejv/issues/oejv0074.pdf" xr:uid="{00000000-0004-0000-0100-000000000000}"/>
    <hyperlink ref="P12" r:id="rId2" display="http://www.bav-astro.de/sfs/BAVM_link.php?BAVMnr=172" xr:uid="{00000000-0004-0000-0100-000001000000}"/>
    <hyperlink ref="P13" r:id="rId3" display="http://www.bav-astro.de/sfs/BAVM_link.php?BAVMnr=172" xr:uid="{00000000-0004-0000-0100-000002000000}"/>
    <hyperlink ref="P14" r:id="rId4" display="http://var.astro.cz/oejv/issues/oejv0003.pdf" xr:uid="{00000000-0004-0000-0100-000003000000}"/>
    <hyperlink ref="P15" r:id="rId5" display="http://var.astro.cz/oejv/issues/oejv0003.pdf" xr:uid="{00000000-0004-0000-0100-000004000000}"/>
    <hyperlink ref="P16" r:id="rId6" display="http://www.bav-astro.de/sfs/BAVM_link.php?BAVMnr=178" xr:uid="{00000000-0004-0000-0100-000005000000}"/>
    <hyperlink ref="P17" r:id="rId7" display="http://www.konkoly.hu/cgi-bin/IBVS?5820" xr:uid="{00000000-0004-0000-0100-000006000000}"/>
    <hyperlink ref="P19" r:id="rId8" display="http://www.bav-astro.de/sfs/BAVM_link.php?BAVMnr=193" xr:uid="{00000000-0004-0000-0100-000007000000}"/>
    <hyperlink ref="P20" r:id="rId9" display="http://www.bav-astro.de/sfs/BAVM_link.php?BAVMnr=225" xr:uid="{00000000-0004-0000-0100-000008000000}"/>
    <hyperlink ref="P21" r:id="rId10" display="http://www.bav-astro.de/sfs/BAVM_link.php?BAVMnr=225" xr:uid="{00000000-0004-0000-0100-000009000000}"/>
    <hyperlink ref="P22" r:id="rId11" display="http://www.bav-astro.de/sfs/BAVM_link.php?BAVMnr=225" xr:uid="{00000000-0004-0000-0100-00000A000000}"/>
    <hyperlink ref="P18" r:id="rId12" display="http://www.bav-astro.de/sfs/BAVM_link.php?BAVMnr=239" xr:uid="{00000000-0004-0000-0100-00000B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2024-07-29T06:06:50Z</dcterms:modified>
</cp:coreProperties>
</file>