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83309BC-DB3E-4375-9CED-CECBF817D0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K24" i="1" s="1"/>
  <c r="Q24" i="1"/>
  <c r="C24" i="1"/>
  <c r="A24" i="1"/>
  <c r="E21" i="1"/>
  <c r="F21" i="1" s="1"/>
  <c r="G21" i="1" s="1"/>
  <c r="I21" i="1" s="1"/>
  <c r="D9" i="1"/>
  <c r="C9" i="1"/>
  <c r="E22" i="1"/>
  <c r="F22" i="1" s="1"/>
  <c r="G22" i="1" s="1"/>
  <c r="H22" i="1" s="1"/>
  <c r="E23" i="1"/>
  <c r="F23" i="1" s="1"/>
  <c r="G23" i="1" s="1"/>
  <c r="K23" i="1" s="1"/>
  <c r="E25" i="1"/>
  <c r="F25" i="1" s="1"/>
  <c r="G25" i="1" s="1"/>
  <c r="K25" i="1" s="1"/>
  <c r="E26" i="1"/>
  <c r="F26" i="1"/>
  <c r="G26" i="1" s="1"/>
  <c r="K26" i="1" s="1"/>
  <c r="E28" i="1"/>
  <c r="F28" i="1"/>
  <c r="G28" i="1" s="1"/>
  <c r="K28" i="1" s="1"/>
  <c r="E27" i="1"/>
  <c r="F27" i="1" s="1"/>
  <c r="G27" i="1" s="1"/>
  <c r="K27" i="1" s="1"/>
  <c r="E29" i="1"/>
  <c r="F29" i="1" s="1"/>
  <c r="G29" i="1" s="1"/>
  <c r="K29" i="1" s="1"/>
  <c r="Q21" i="1"/>
  <c r="G17" i="2"/>
  <c r="C17" i="2"/>
  <c r="G16" i="2"/>
  <c r="C16" i="2"/>
  <c r="E16" i="2"/>
  <c r="G15" i="2"/>
  <c r="C15" i="2"/>
  <c r="G14" i="2"/>
  <c r="C14" i="2"/>
  <c r="E14" i="2"/>
  <c r="G13" i="2"/>
  <c r="C13" i="2"/>
  <c r="G12" i="2"/>
  <c r="C12" i="2"/>
  <c r="E12" i="2"/>
  <c r="G11" i="2"/>
  <c r="C11" i="2"/>
  <c r="E11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11" i="2"/>
  <c r="B11" i="2"/>
  <c r="D11" i="2"/>
  <c r="A11" i="2"/>
  <c r="Q27" i="1"/>
  <c r="Q29" i="1"/>
  <c r="Q23" i="1"/>
  <c r="Q25" i="1"/>
  <c r="Q26" i="1"/>
  <c r="Q28" i="1"/>
  <c r="F14" i="1"/>
  <c r="F15" i="1" s="1"/>
  <c r="C17" i="1"/>
  <c r="Q22" i="1"/>
  <c r="C12" i="1"/>
  <c r="C11" i="1"/>
  <c r="E15" i="2" l="1"/>
  <c r="O24" i="1"/>
  <c r="E17" i="2"/>
  <c r="E13" i="2"/>
  <c r="C16" i="1"/>
  <c r="D18" i="1" s="1"/>
  <c r="O28" i="1"/>
  <c r="O22" i="1"/>
  <c r="O29" i="1"/>
  <c r="C15" i="1"/>
  <c r="O23" i="1"/>
  <c r="O21" i="1"/>
  <c r="O26" i="1"/>
  <c r="O27" i="1"/>
  <c r="O25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<sst xmlns="http://schemas.openxmlformats.org/spreadsheetml/2006/main" count="135" uniqueCount="101">
  <si>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</si>
  <si>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</si>
  <si>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</si>
  <si>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</si>
  <si>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</si>
  <si>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</si>
  <si>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</si>
  <si>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</si>
  <si>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</si>
  <si>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</si>
  <si>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</si>
  <si>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</si>
  <si>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</si>
  <si>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</si>
  <si>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</si>
  <si>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</si>
  <si>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</si>
  <si>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</si>
  <si>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</si>
  <si>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</si>
  <si>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</si>
  <si>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</si>
  <si>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</si>
  <si>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</si>
  <si>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</si>
  <si>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</si>
  <si>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</si>
  <si>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</si>
  <si>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</si>
  <si>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</si>
  <si>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</si>
  <si>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</si>
  <si>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</si>
  <si>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BAD</t>
  </si>
  <si>
    <t>Add cycle</t>
  </si>
  <si>
    <t>Old Cycle</t>
  </si>
  <si>
    <t>GO Vul</t>
  </si>
  <si>
    <t>GO Vul / GSC 2147-0989</t>
  </si>
  <si>
    <t>G2147-0989</t>
  </si>
  <si>
    <t>EA/KE:</t>
  </si>
  <si>
    <t>IBVS 5353</t>
  </si>
  <si>
    <t>I</t>
  </si>
  <si>
    <t>II</t>
  </si>
  <si>
    <t>IBVS 6010</t>
  </si>
  <si>
    <t>Kreiner</t>
  </si>
  <si>
    <t>IBVS 5984</t>
  </si>
  <si>
    <t>IBVS 6149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</si>
  <si>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</si>
  <si>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</si>
  <si>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</si>
  <si>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</si>
  <si>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</si>
  <si>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</si>
  <si>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</si>
  <si>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</si>
  <si>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</si>
  <si>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</si>
  <si>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</si>
  <si>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2451362.382 </t>
  </si>
  <si>
    <t> 02.07.1999 21:10 </t>
  </si>
  <si>
    <t> -0.033 </t>
  </si>
  <si>
    <t>E </t>
  </si>
  <si>
    <t>?</t>
  </si>
  <si>
    <t> R.Diethelm </t>
  </si>
  <si>
    <t> BBS 120 </t>
  </si>
  <si>
    <t>2452505.4943 </t>
  </si>
  <si>
    <t> 18.08.2002 23:51 </t>
  </si>
  <si>
    <t> -0.0356 </t>
  </si>
  <si>
    <t> Wolf&amp;Sarounova </t>
  </si>
  <si>
    <t>IBVS 5353 </t>
  </si>
  <si>
    <t>2452506.5035 </t>
  </si>
  <si>
    <t> 20.08.2002 00:05 </t>
  </si>
  <si>
    <t> -0.0354 </t>
  </si>
  <si>
    <t>2452507.5120 </t>
  </si>
  <si>
    <t> 21.08.2002 00:17 </t>
  </si>
  <si>
    <t> -0.0358 </t>
  </si>
  <si>
    <t>2455430.3734 </t>
  </si>
  <si>
    <t> 21.08.2010 20:57 </t>
  </si>
  <si>
    <t> -0.0384 </t>
  </si>
  <si>
    <t>C </t>
  </si>
  <si>
    <t>-I</t>
  </si>
  <si>
    <t> F.Agerer </t>
  </si>
  <si>
    <t>BAVM 215 </t>
  </si>
  <si>
    <t>2455776.4367 </t>
  </si>
  <si>
    <t> 02.08.2011 22:28 </t>
  </si>
  <si>
    <t>20961</t>
  </si>
  <si>
    <t> -0.0374 </t>
  </si>
  <si>
    <t>BAVM 220 </t>
  </si>
  <si>
    <t>2456795.4455 </t>
  </si>
  <si>
    <t> 17.05.2014 22:41 </t>
  </si>
  <si>
    <t>21971</t>
  </si>
  <si>
    <t> -0.0457 </t>
  </si>
  <si>
    <t>o</t>
  </si>
  <si>
    <t> W.Moschner &amp; P.Frank </t>
  </si>
  <si>
    <t>BAVM 238 </t>
  </si>
  <si>
    <t>PE?</t>
  </si>
  <si>
    <t>Next ToM-S</t>
  </si>
  <si>
    <t>Next ToM-P</t>
  </si>
  <si>
    <t xml:space="preserve">Mag </t>
  </si>
  <si>
    <t>13.2 p (0.45)R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</si>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</sst>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1" applyNumberFormat="0" applyFont="0" applyFill="0" applyAlignment="0" applyProtection="0"/>
  </cellStyleXfs>
  <cellXfs count="60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7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7" fillId="2" borderId="11" xfId="7" applyFill="1" applyBorder="1" applyAlignment="1" applyProtection="1">
      <alignment horizontal="right"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14" xfId="0" applyFont="1" applyBorder="1" applyAlignment="1">
      <alignment horizontal="right" vertical="center"/>
    </xf>
    <xf numFmtId="0" fontId="12" fillId="0" borderId="15" xfId="0" applyFont="1" applyBorder="1" applyAlignment="1">
      <alignment vertical="center"/>
    </xf>
    <xf numFmtId="0" fontId="21" fillId="0" borderId="15" xfId="0" applyFont="1" applyBorder="1" applyAlignment="1">
      <alignment vertical="center"/>
    </xf>
    <xf numFmtId="22" fontId="21" fillId="0" borderId="15" xfId="0" applyNumberFormat="1" applyFont="1" applyBorder="1" applyAlignment="1">
      <alignment vertical="center"/>
    </xf>
    <xf numFmtId="22" fontId="21" fillId="0" borderId="16" xfId="0" applyNumberFormat="1" applyFont="1" applyBorder="1" applyAlignment="1">
      <alignment vertical="center"/>
    </xf>
    <xf numFmtId="0" fontId="20" fillId="0" borderId="17" xfId="0" applyFont="1" applyBorder="1" applyAlignment="1">
      <alignment horizontal="right" vertical="center"/>
    </xf>
    <xf numFmtId="0" fontId="19" fillId="3" borderId="12" xfId="0" applyFont="1" applyFill="1" applyBorder="1" applyAlignment="1">
      <alignment horizontal="right" vertical="center"/>
    </xf>
    <xf numFmtId="0" fontId="19" fillId="3" borderId="13" xfId="0" applyFont="1" applyFill="1" applyBorder="1" applyAlignment="1">
      <alignment horizontal="center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GO Vul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20300751879698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8.0000000000000004E-4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2.5000000000000001E-3</c:v>
                  </c:pt>
                  <c:pt idx="7">
                    <c:v>1.8E-3</c:v>
                  </c:pt>
                  <c:pt idx="8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8.0000000000000004E-4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2.5000000000000001E-3</c:v>
                  </c:pt>
                  <c:pt idx="7">
                    <c:v>1.8E-3</c:v>
                  </c:pt>
                  <c:pt idx="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-566.5</c:v>
                </c:pt>
                <c:pt idx="1">
                  <c:v>-2</c:v>
                </c:pt>
                <c:pt idx="2">
                  <c:v>0</c:v>
                </c:pt>
                <c:pt idx="3">
                  <c:v>0</c:v>
                </c:pt>
                <c:pt idx="4">
                  <c:v>0.5</c:v>
                </c:pt>
                <c:pt idx="5">
                  <c:v>1</c:v>
                </c:pt>
                <c:pt idx="6">
                  <c:v>1449.5</c:v>
                </c:pt>
                <c:pt idx="7">
                  <c:v>1621</c:v>
                </c:pt>
                <c:pt idx="8">
                  <c:v>2126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">
                  <c:v>3.0339999648276716E-4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31-4A65-9BF5-57C404DDF53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8.0000000000000004E-4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2.5000000000000001E-3</c:v>
                  </c:pt>
                  <c:pt idx="7">
                    <c:v>1.8E-3</c:v>
                  </c:pt>
                  <c:pt idx="8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8.0000000000000004E-4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2.5000000000000001E-3</c:v>
                  </c:pt>
                  <c:pt idx="7">
                    <c:v>1.8E-3</c:v>
                  </c:pt>
                  <c:pt idx="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-566.5</c:v>
                </c:pt>
                <c:pt idx="1">
                  <c:v>-2</c:v>
                </c:pt>
                <c:pt idx="2">
                  <c:v>0</c:v>
                </c:pt>
                <c:pt idx="3">
                  <c:v>0</c:v>
                </c:pt>
                <c:pt idx="4">
                  <c:v>0.5</c:v>
                </c:pt>
                <c:pt idx="5">
                  <c:v>1</c:v>
                </c:pt>
                <c:pt idx="6">
                  <c:v>1449.5</c:v>
                </c:pt>
                <c:pt idx="7">
                  <c:v>1621</c:v>
                </c:pt>
                <c:pt idx="8">
                  <c:v>2126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5.8804999571293592E-4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431-4A65-9BF5-57C404DDF53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8.0000000000000004E-4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2.5000000000000001E-3</c:v>
                  </c:pt>
                  <c:pt idx="7">
                    <c:v>1.8E-3</c:v>
                  </c:pt>
                  <c:pt idx="8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8.0000000000000004E-4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2.5000000000000001E-3</c:v>
                  </c:pt>
                  <c:pt idx="7">
                    <c:v>1.8E-3</c:v>
                  </c:pt>
                  <c:pt idx="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-566.5</c:v>
                </c:pt>
                <c:pt idx="1">
                  <c:v>-2</c:v>
                </c:pt>
                <c:pt idx="2">
                  <c:v>0</c:v>
                </c:pt>
                <c:pt idx="3">
                  <c:v>0</c:v>
                </c:pt>
                <c:pt idx="4">
                  <c:v>0.5</c:v>
                </c:pt>
                <c:pt idx="5">
                  <c:v>1</c:v>
                </c:pt>
                <c:pt idx="6">
                  <c:v>1449.5</c:v>
                </c:pt>
                <c:pt idx="7">
                  <c:v>1621</c:v>
                </c:pt>
                <c:pt idx="8">
                  <c:v>2126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431-4A65-9BF5-57C404DDF53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8.0000000000000004E-4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2.5000000000000001E-3</c:v>
                  </c:pt>
                  <c:pt idx="7">
                    <c:v>1.8E-3</c:v>
                  </c:pt>
                  <c:pt idx="8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8.0000000000000004E-4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2.5000000000000001E-3</c:v>
                  </c:pt>
                  <c:pt idx="7">
                    <c:v>1.8E-3</c:v>
                  </c:pt>
                  <c:pt idx="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-566.5</c:v>
                </c:pt>
                <c:pt idx="1">
                  <c:v>-2</c:v>
                </c:pt>
                <c:pt idx="2">
                  <c:v>0</c:v>
                </c:pt>
                <c:pt idx="3">
                  <c:v>0</c:v>
                </c:pt>
                <c:pt idx="4">
                  <c:v>0.5</c:v>
                </c:pt>
                <c:pt idx="5">
                  <c:v>1</c:v>
                </c:pt>
                <c:pt idx="6">
                  <c:v>1449.5</c:v>
                </c:pt>
                <c:pt idx="7">
                  <c:v>1621</c:v>
                </c:pt>
                <c:pt idx="8">
                  <c:v>2126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-1.0000000474974513E-4</c:v>
                </c:pt>
                <c:pt idx="3">
                  <c:v>0</c:v>
                </c:pt>
                <c:pt idx="4">
                  <c:v>1.74149994563777E-4</c:v>
                </c:pt>
                <c:pt idx="5">
                  <c:v>-2.5170000299112871E-4</c:v>
                </c:pt>
                <c:pt idx="6">
                  <c:v>2.9608499899040908E-3</c:v>
                </c:pt>
                <c:pt idx="7">
                  <c:v>4.6942999979364686E-3</c:v>
                </c:pt>
                <c:pt idx="8">
                  <c:v>-1.6142000022227876E-3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431-4A65-9BF5-57C404DDF53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8.0000000000000004E-4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2.5000000000000001E-3</c:v>
                  </c:pt>
                  <c:pt idx="7">
                    <c:v>1.8E-3</c:v>
                  </c:pt>
                  <c:pt idx="8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8.0000000000000004E-4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2.5000000000000001E-3</c:v>
                  </c:pt>
                  <c:pt idx="7">
                    <c:v>1.8E-3</c:v>
                  </c:pt>
                  <c:pt idx="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-566.5</c:v>
                </c:pt>
                <c:pt idx="1">
                  <c:v>-2</c:v>
                </c:pt>
                <c:pt idx="2">
                  <c:v>0</c:v>
                </c:pt>
                <c:pt idx="3">
                  <c:v>0</c:v>
                </c:pt>
                <c:pt idx="4">
                  <c:v>0.5</c:v>
                </c:pt>
                <c:pt idx="5">
                  <c:v>1</c:v>
                </c:pt>
                <c:pt idx="6">
                  <c:v>1449.5</c:v>
                </c:pt>
                <c:pt idx="7">
                  <c:v>1621</c:v>
                </c:pt>
                <c:pt idx="8">
                  <c:v>2126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431-4A65-9BF5-57C404DDF53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8.0000000000000004E-4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2.5000000000000001E-3</c:v>
                  </c:pt>
                  <c:pt idx="7">
                    <c:v>1.8E-3</c:v>
                  </c:pt>
                  <c:pt idx="8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8.0000000000000004E-4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2.5000000000000001E-3</c:v>
                  </c:pt>
                  <c:pt idx="7">
                    <c:v>1.8E-3</c:v>
                  </c:pt>
                  <c:pt idx="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-566.5</c:v>
                </c:pt>
                <c:pt idx="1">
                  <c:v>-2</c:v>
                </c:pt>
                <c:pt idx="2">
                  <c:v>0</c:v>
                </c:pt>
                <c:pt idx="3">
                  <c:v>0</c:v>
                </c:pt>
                <c:pt idx="4">
                  <c:v>0.5</c:v>
                </c:pt>
                <c:pt idx="5">
                  <c:v>1</c:v>
                </c:pt>
                <c:pt idx="6">
                  <c:v>1449.5</c:v>
                </c:pt>
                <c:pt idx="7">
                  <c:v>1621</c:v>
                </c:pt>
                <c:pt idx="8">
                  <c:v>2126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431-4A65-9BF5-57C404DDF53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8.0000000000000004E-4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2.5000000000000001E-3</c:v>
                  </c:pt>
                  <c:pt idx="7">
                    <c:v>1.8E-3</c:v>
                  </c:pt>
                  <c:pt idx="8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8.0000000000000004E-4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2.5000000000000001E-3</c:v>
                  </c:pt>
                  <c:pt idx="7">
                    <c:v>1.8E-3</c:v>
                  </c:pt>
                  <c:pt idx="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-566.5</c:v>
                </c:pt>
                <c:pt idx="1">
                  <c:v>-2</c:v>
                </c:pt>
                <c:pt idx="2">
                  <c:v>0</c:v>
                </c:pt>
                <c:pt idx="3">
                  <c:v>0</c:v>
                </c:pt>
                <c:pt idx="4">
                  <c:v>0.5</c:v>
                </c:pt>
                <c:pt idx="5">
                  <c:v>1</c:v>
                </c:pt>
                <c:pt idx="6">
                  <c:v>1449.5</c:v>
                </c:pt>
                <c:pt idx="7">
                  <c:v>1621</c:v>
                </c:pt>
                <c:pt idx="8">
                  <c:v>2126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431-4A65-9BF5-57C404DDF53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-566.5</c:v>
                </c:pt>
                <c:pt idx="1">
                  <c:v>-2</c:v>
                </c:pt>
                <c:pt idx="2">
                  <c:v>0</c:v>
                </c:pt>
                <c:pt idx="3">
                  <c:v>0</c:v>
                </c:pt>
                <c:pt idx="4">
                  <c:v>0.5</c:v>
                </c:pt>
                <c:pt idx="5">
                  <c:v>1</c:v>
                </c:pt>
                <c:pt idx="6">
                  <c:v>1449.5</c:v>
                </c:pt>
                <c:pt idx="7">
                  <c:v>1621</c:v>
                </c:pt>
                <c:pt idx="8">
                  <c:v>2126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4.9672899230151178E-5</c:v>
                </c:pt>
                <c:pt idx="1">
                  <c:v>4.1570390668270593E-4</c:v>
                </c:pt>
                <c:pt idx="2">
                  <c:v>4.1700073930432701E-4</c:v>
                </c:pt>
                <c:pt idx="3">
                  <c:v>4.1700073930432701E-4</c:v>
                </c:pt>
                <c:pt idx="4">
                  <c:v>4.1732494745973231E-4</c:v>
                </c:pt>
                <c:pt idx="5">
                  <c:v>4.1764915561513756E-4</c:v>
                </c:pt>
                <c:pt idx="6">
                  <c:v>1.3568801818242173E-3</c:v>
                </c:pt>
                <c:pt idx="7">
                  <c:v>1.4680835791282265E-3</c:v>
                </c:pt>
                <c:pt idx="8">
                  <c:v>1.7955338160875534E-3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431-4A65-9BF5-57C404DDF53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-566.5</c:v>
                </c:pt>
                <c:pt idx="1">
                  <c:v>-2</c:v>
                </c:pt>
                <c:pt idx="2">
                  <c:v>0</c:v>
                </c:pt>
                <c:pt idx="3">
                  <c:v>0</c:v>
                </c:pt>
                <c:pt idx="4">
                  <c:v>0.5</c:v>
                </c:pt>
                <c:pt idx="5">
                  <c:v>1</c:v>
                </c:pt>
                <c:pt idx="6">
                  <c:v>1449.5</c:v>
                </c:pt>
                <c:pt idx="7">
                  <c:v>1621</c:v>
                </c:pt>
                <c:pt idx="8">
                  <c:v>2126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431-4A65-9BF5-57C404DDF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6695416"/>
        <c:axId val="1"/>
      </c:scatterChart>
      <c:valAx>
        <c:axId val="746695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66954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9548872180451127"/>
          <c:y val="0.92397937099967764"/>
          <c:w val="0.7533834586466164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4D4A036-C2AB-22CC-D5CD-A39DE1C591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5353" TargetMode="External"/><Relationship Id="rId2" Type="http://schemas.openxmlformats.org/officeDocument/2006/relationships/hyperlink" Target="http://www.konkoly.hu/cgi-bin/IBVS?5353" TargetMode="External"/><Relationship Id="rId1" Type="http://schemas.openxmlformats.org/officeDocument/2006/relationships/hyperlink" Target="http://www.konkoly.hu/cgi-bin/IBVS?5353" TargetMode="External"/><Relationship Id="rId6" Type="http://schemas.openxmlformats.org/officeDocument/2006/relationships/hyperlink" Target="http://www.bav-astro.de/sfs/BAVM_link.php?BAVMnr=238" TargetMode="External"/><Relationship Id="rId5" Type="http://schemas.openxmlformats.org/officeDocument/2006/relationships/hyperlink" Target="http://www.bav-astro.de/sfs/BAVM_link.php?BAVMnr=220" TargetMode="External"/><Relationship Id="rId4" Type="http://schemas.openxmlformats.org/officeDocument/2006/relationships/hyperlink" Target="http://www.bav-astro.de/sfs/BAVM_link.php?BAVMnr=2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.42578125" customWidth="1"/>
    <col min="6" max="6" width="15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s="21" customFormat="1" ht="20.25" x14ac:dyDescent="0.2">
      <c r="A1" s="50" t="s">
        <v>37</v>
      </c>
      <c r="E1" s="5" t="s">
        <v>36</v>
      </c>
      <c r="F1" s="21" t="s">
        <v>38</v>
      </c>
    </row>
    <row r="2" spans="1:6" s="21" customFormat="1" ht="12.95" customHeight="1" x14ac:dyDescent="0.2">
      <c r="A2" s="21" t="s">
        <v>23</v>
      </c>
      <c r="B2" s="21" t="s">
        <v>39</v>
      </c>
      <c r="C2" s="22"/>
      <c r="D2" s="22"/>
      <c r="E2" s="21">
        <v>0</v>
      </c>
    </row>
    <row r="3" spans="1:6" s="21" customFormat="1" ht="12.95" customHeight="1" thickBot="1" x14ac:dyDescent="0.25"/>
    <row r="4" spans="1:6" s="21" customFormat="1" ht="12.95" customHeight="1" thickTop="1" thickBot="1" x14ac:dyDescent="0.25">
      <c r="A4" s="23" t="s">
        <v>0</v>
      </c>
      <c r="C4" s="24">
        <v>52501.459000000003</v>
      </c>
      <c r="D4" s="25">
        <v>2.0178517999999999</v>
      </c>
    </row>
    <row r="5" spans="1:6" s="21" customFormat="1" ht="12.95" customHeight="1" thickTop="1" x14ac:dyDescent="0.2">
      <c r="A5" s="26" t="s">
        <v>28</v>
      </c>
      <c r="C5" s="27">
        <v>-9.5</v>
      </c>
      <c r="D5" s="21" t="s">
        <v>29</v>
      </c>
    </row>
    <row r="6" spans="1:6" s="21" customFormat="1" ht="12.95" customHeight="1" x14ac:dyDescent="0.2">
      <c r="A6" s="23" t="s">
        <v>1</v>
      </c>
    </row>
    <row r="7" spans="1:6" s="21" customFormat="1" ht="12.95" customHeight="1" x14ac:dyDescent="0.2">
      <c r="A7" s="21" t="s">
        <v>2</v>
      </c>
      <c r="C7" s="21">
        <v>52505.494400000003</v>
      </c>
      <c r="D7" s="51" t="s">
        <v>100</v>
      </c>
    </row>
    <row r="8" spans="1:6" s="21" customFormat="1" ht="12.95" customHeight="1" x14ac:dyDescent="0.2">
      <c r="A8" s="21" t="s">
        <v>3</v>
      </c>
      <c r="C8" s="21">
        <v>2.0178517</v>
      </c>
      <c r="D8" s="51" t="s">
        <v>100</v>
      </c>
    </row>
    <row r="9" spans="1:6" s="21" customFormat="1" ht="12.95" customHeight="1" x14ac:dyDescent="0.2">
      <c r="A9" s="5" t="s">
        <v>32</v>
      </c>
      <c r="B9" s="28">
        <v>21</v>
      </c>
      <c r="C9" s="29" t="str">
        <f>"F"&amp;B9</f>
        <v>F21</v>
      </c>
      <c r="D9" s="30" t="str">
        <f>"G"&amp;B9</f>
        <v>G21</v>
      </c>
    </row>
    <row r="10" spans="1:6" s="21" customFormat="1" ht="12.95" customHeight="1" thickBot="1" x14ac:dyDescent="0.25">
      <c r="C10" s="31" t="s">
        <v>19</v>
      </c>
      <c r="D10" s="31" t="s">
        <v>20</v>
      </c>
    </row>
    <row r="11" spans="1:6" s="21" customFormat="1" ht="12.95" customHeight="1" x14ac:dyDescent="0.2">
      <c r="A11" s="21" t="s">
        <v>15</v>
      </c>
      <c r="C11" s="30">
        <f ca="1">INTERCEPT(INDIRECT($D$9):G992,INDIRECT($C$9):F992)</f>
        <v>4.1700073930432701E-4</v>
      </c>
      <c r="D11" s="22"/>
    </row>
    <row r="12" spans="1:6" s="21" customFormat="1" ht="12.95" customHeight="1" x14ac:dyDescent="0.2">
      <c r="A12" s="21" t="s">
        <v>16</v>
      </c>
      <c r="C12" s="30">
        <f ca="1">SLOPE(INDIRECT($D$9):G992,INDIRECT($C$9):F992)</f>
        <v>6.4841631081054868E-7</v>
      </c>
      <c r="D12" s="22"/>
      <c r="E12" s="58" t="s">
        <v>98</v>
      </c>
      <c r="F12" s="59" t="s">
        <v>99</v>
      </c>
    </row>
    <row r="13" spans="1:6" s="21" customFormat="1" ht="12.95" customHeight="1" x14ac:dyDescent="0.2">
      <c r="A13" s="21" t="s">
        <v>18</v>
      </c>
      <c r="C13" s="22" t="s">
        <v>13</v>
      </c>
      <c r="E13" s="52" t="s">
        <v>34</v>
      </c>
      <c r="F13" s="53">
        <v>1</v>
      </c>
    </row>
    <row r="14" spans="1:6" s="21" customFormat="1" ht="12.95" customHeight="1" x14ac:dyDescent="0.2">
      <c r="E14" s="52" t="s">
        <v>30</v>
      </c>
      <c r="F14" s="54">
        <f ca="1">NOW()+15018.5+$C$5/24</f>
        <v>60520.748212962957</v>
      </c>
    </row>
    <row r="15" spans="1:6" s="21" customFormat="1" ht="12.95" customHeight="1" x14ac:dyDescent="0.2">
      <c r="A15" s="32" t="s">
        <v>17</v>
      </c>
      <c r="C15" s="33">
        <f ca="1">(C7+C11)+(C8+C12)*INT(MAX(F21:F3533))</f>
        <v>56795.448909733816</v>
      </c>
      <c r="E15" s="52" t="s">
        <v>35</v>
      </c>
      <c r="F15" s="54">
        <f ca="1">ROUND(2*(F14-$C$7)/$C$8,0)/2+F13</f>
        <v>3973</v>
      </c>
    </row>
    <row r="16" spans="1:6" s="21" customFormat="1" ht="12.95" customHeight="1" x14ac:dyDescent="0.2">
      <c r="A16" s="23" t="s">
        <v>4</v>
      </c>
      <c r="C16" s="35">
        <f ca="1">+C8+C12</f>
        <v>2.0178523484163109</v>
      </c>
      <c r="E16" s="52" t="s">
        <v>31</v>
      </c>
      <c r="F16" s="54">
        <f ca="1">ROUND(2*(F14-$C$15)/$C$16,0)/2+F13</f>
        <v>1847</v>
      </c>
    </row>
    <row r="17" spans="1:21" s="21" customFormat="1" ht="12.95" customHeight="1" thickBot="1" x14ac:dyDescent="0.25">
      <c r="A17" s="34" t="s">
        <v>27</v>
      </c>
      <c r="C17" s="21">
        <f>COUNT(C21:C2191)</f>
        <v>9</v>
      </c>
      <c r="E17" s="52" t="s">
        <v>97</v>
      </c>
      <c r="F17" s="55">
        <f ca="1">+$C$15+$C$16*$F$16-15018.5-$C$5/24</f>
        <v>45504.318030592076</v>
      </c>
    </row>
    <row r="18" spans="1:21" s="21" customFormat="1" ht="12.95" customHeight="1" thickTop="1" thickBot="1" x14ac:dyDescent="0.25">
      <c r="A18" s="23" t="s">
        <v>5</v>
      </c>
      <c r="C18" s="36">
        <f ca="1">+C15</f>
        <v>56795.448909733816</v>
      </c>
      <c r="D18" s="37">
        <f ca="1">+C16</f>
        <v>2.0178523484163109</v>
      </c>
      <c r="E18" s="57" t="s">
        <v>96</v>
      </c>
      <c r="F18" s="56">
        <f ca="1">+($C$15+$C$16*$F$16)-($C$16/2)-15018.5-$C$5/24</f>
        <v>45503.309104417865</v>
      </c>
    </row>
    <row r="19" spans="1:21" s="21" customFormat="1" ht="12.95" customHeight="1" thickTop="1" x14ac:dyDescent="0.2"/>
    <row r="20" spans="1:21" s="21" customFormat="1" ht="12.95" customHeight="1" thickBot="1" x14ac:dyDescent="0.25">
      <c r="A20" s="31" t="s">
        <v>6</v>
      </c>
      <c r="B20" s="31" t="s">
        <v>7</v>
      </c>
      <c r="C20" s="31" t="s">
        <v>8</v>
      </c>
      <c r="D20" s="31" t="s">
        <v>12</v>
      </c>
      <c r="E20" s="31" t="s">
        <v>9</v>
      </c>
      <c r="F20" s="31" t="s">
        <v>10</v>
      </c>
      <c r="G20" s="31" t="s">
        <v>11</v>
      </c>
      <c r="H20" s="38" t="s">
        <v>44</v>
      </c>
      <c r="I20" s="38" t="s">
        <v>57</v>
      </c>
      <c r="J20" s="38" t="s">
        <v>95</v>
      </c>
      <c r="K20" s="38" t="s">
        <v>49</v>
      </c>
      <c r="L20" s="38" t="s">
        <v>24</v>
      </c>
      <c r="M20" s="38" t="s">
        <v>25</v>
      </c>
      <c r="N20" s="38" t="s">
        <v>26</v>
      </c>
      <c r="O20" s="38" t="s">
        <v>22</v>
      </c>
      <c r="P20" s="39" t="s">
        <v>21</v>
      </c>
      <c r="Q20" s="31" t="s">
        <v>14</v>
      </c>
      <c r="U20" s="40" t="s">
        <v>33</v>
      </c>
    </row>
    <row r="21" spans="1:21" s="21" customFormat="1" ht="12.95" customHeight="1" x14ac:dyDescent="0.2">
      <c r="A21" s="41" t="s">
        <v>64</v>
      </c>
      <c r="B21" s="42" t="s">
        <v>41</v>
      </c>
      <c r="C21" s="43">
        <v>51362.381999999998</v>
      </c>
      <c r="D21" s="44"/>
      <c r="E21" s="21">
        <f t="shared" ref="E21:E29" si="0">+(C21-C$7)/C$8</f>
        <v>-566.49970857620781</v>
      </c>
      <c r="F21" s="21">
        <f t="shared" ref="F21:F29" si="1">ROUND(2*E21,0)/2</f>
        <v>-566.5</v>
      </c>
      <c r="G21" s="21">
        <f t="shared" ref="G21:G29" si="2">+C21-(C$7+F21*C$8)</f>
        <v>5.8804999571293592E-4</v>
      </c>
      <c r="I21" s="21">
        <f>+G21</f>
        <v>5.8804999571293592E-4</v>
      </c>
      <c r="O21" s="21">
        <f t="shared" ref="O21:O29" ca="1" si="3">+C$11+C$12*$F21</f>
        <v>4.9672899230151178E-5</v>
      </c>
      <c r="Q21" s="45">
        <f t="shared" ref="Q21:Q29" si="4">+C21-15018.5</f>
        <v>36343.881999999998</v>
      </c>
    </row>
    <row r="22" spans="1:21" s="21" customFormat="1" ht="12.95" customHeight="1" x14ac:dyDescent="0.2">
      <c r="A22" s="21" t="s">
        <v>44</v>
      </c>
      <c r="C22" s="44">
        <v>52501.459000000003</v>
      </c>
      <c r="D22" s="44" t="s">
        <v>13</v>
      </c>
      <c r="E22" s="21">
        <f t="shared" si="0"/>
        <v>-1.9998496420726377</v>
      </c>
      <c r="F22" s="21">
        <f t="shared" si="1"/>
        <v>-2</v>
      </c>
      <c r="G22" s="21">
        <f t="shared" si="2"/>
        <v>3.0339999648276716E-4</v>
      </c>
      <c r="H22" s="21">
        <f>+G22</f>
        <v>3.0339999648276716E-4</v>
      </c>
      <c r="O22" s="21">
        <f t="shared" ca="1" si="3"/>
        <v>4.1570390668270593E-4</v>
      </c>
      <c r="Q22" s="45">
        <f t="shared" si="4"/>
        <v>37482.959000000003</v>
      </c>
    </row>
    <row r="23" spans="1:21" s="21" customFormat="1" ht="12.95" customHeight="1" x14ac:dyDescent="0.2">
      <c r="A23" s="6" t="s">
        <v>40</v>
      </c>
      <c r="B23" s="7" t="s">
        <v>41</v>
      </c>
      <c r="C23" s="6">
        <v>52505.494299999998</v>
      </c>
      <c r="D23" s="6">
        <v>8.0000000000000004E-4</v>
      </c>
      <c r="E23" s="21">
        <f t="shared" si="0"/>
        <v>-4.9557658151857801E-5</v>
      </c>
      <c r="F23" s="21">
        <f t="shared" si="1"/>
        <v>0</v>
      </c>
      <c r="G23" s="21">
        <f t="shared" si="2"/>
        <v>-1.0000000474974513E-4</v>
      </c>
      <c r="K23" s="21">
        <f t="shared" ref="K23:K29" si="5">+G23</f>
        <v>-1.0000000474974513E-4</v>
      </c>
      <c r="O23" s="21">
        <f t="shared" ca="1" si="3"/>
        <v>4.1700073930432701E-4</v>
      </c>
      <c r="Q23" s="45">
        <f t="shared" si="4"/>
        <v>37486.994299999998</v>
      </c>
    </row>
    <row r="24" spans="1:21" s="21" customFormat="1" ht="12.95" customHeight="1" x14ac:dyDescent="0.2">
      <c r="A24" s="21" t="str">
        <f>$D$7</f>
        <v>VSX</v>
      </c>
      <c r="C24" s="44">
        <f>$C$7</f>
        <v>52505.494400000003</v>
      </c>
      <c r="D24" s="44"/>
      <c r="E24" s="21">
        <f t="shared" si="0"/>
        <v>0</v>
      </c>
      <c r="F24" s="21">
        <f t="shared" si="1"/>
        <v>0</v>
      </c>
      <c r="G24" s="21">
        <f t="shared" si="2"/>
        <v>0</v>
      </c>
      <c r="K24" s="21">
        <f t="shared" si="5"/>
        <v>0</v>
      </c>
      <c r="O24" s="21">
        <f t="shared" ca="1" si="3"/>
        <v>4.1700073930432701E-4</v>
      </c>
      <c r="Q24" s="45">
        <f t="shared" si="4"/>
        <v>37486.994400000003</v>
      </c>
    </row>
    <row r="25" spans="1:21" s="21" customFormat="1" ht="12.95" customHeight="1" x14ac:dyDescent="0.2">
      <c r="A25" s="6" t="s">
        <v>40</v>
      </c>
      <c r="B25" s="7" t="s">
        <v>42</v>
      </c>
      <c r="C25" s="6">
        <v>52506.503499999999</v>
      </c>
      <c r="D25" s="6">
        <v>4.0000000000000002E-4</v>
      </c>
      <c r="E25" s="21">
        <f t="shared" si="0"/>
        <v>0.50008630465542603</v>
      </c>
      <c r="F25" s="21">
        <f t="shared" si="1"/>
        <v>0.5</v>
      </c>
      <c r="G25" s="21">
        <f t="shared" si="2"/>
        <v>1.74149994563777E-4</v>
      </c>
      <c r="K25" s="21">
        <f t="shared" si="5"/>
        <v>1.74149994563777E-4</v>
      </c>
      <c r="O25" s="21">
        <f t="shared" ca="1" si="3"/>
        <v>4.1732494745973231E-4</v>
      </c>
      <c r="Q25" s="45">
        <f t="shared" si="4"/>
        <v>37488.003499999999</v>
      </c>
    </row>
    <row r="26" spans="1:21" s="21" customFormat="1" ht="12.95" customHeight="1" x14ac:dyDescent="0.2">
      <c r="A26" s="6" t="s">
        <v>40</v>
      </c>
      <c r="B26" s="7" t="s">
        <v>41</v>
      </c>
      <c r="C26" s="6">
        <v>52507.512000000002</v>
      </c>
      <c r="D26" s="6">
        <v>5.9999999999999995E-4</v>
      </c>
      <c r="E26" s="21">
        <f t="shared" si="0"/>
        <v>0.9998752633799699</v>
      </c>
      <c r="F26" s="21">
        <f t="shared" si="1"/>
        <v>1</v>
      </c>
      <c r="G26" s="21">
        <f t="shared" si="2"/>
        <v>-2.5170000299112871E-4</v>
      </c>
      <c r="K26" s="21">
        <f t="shared" si="5"/>
        <v>-2.5170000299112871E-4</v>
      </c>
      <c r="O26" s="21">
        <f t="shared" ca="1" si="3"/>
        <v>4.1764915561513756E-4</v>
      </c>
      <c r="Q26" s="45">
        <f t="shared" si="4"/>
        <v>37489.012000000002</v>
      </c>
    </row>
    <row r="27" spans="1:21" s="21" customFormat="1" ht="12.95" customHeight="1" x14ac:dyDescent="0.2">
      <c r="A27" s="46" t="s">
        <v>45</v>
      </c>
      <c r="B27" s="46"/>
      <c r="C27" s="47">
        <v>55430.373399999997</v>
      </c>
      <c r="D27" s="47">
        <v>2.5000000000000001E-3</v>
      </c>
      <c r="E27" s="21">
        <f t="shared" si="0"/>
        <v>1449.5014673278486</v>
      </c>
      <c r="F27" s="21">
        <f t="shared" si="1"/>
        <v>1449.5</v>
      </c>
      <c r="G27" s="21">
        <f t="shared" si="2"/>
        <v>2.9608499899040908E-3</v>
      </c>
      <c r="K27" s="21">
        <f t="shared" si="5"/>
        <v>2.9608499899040908E-3</v>
      </c>
      <c r="O27" s="21">
        <f t="shared" ca="1" si="3"/>
        <v>1.3568801818242173E-3</v>
      </c>
      <c r="Q27" s="45">
        <f t="shared" si="4"/>
        <v>40411.873399999997</v>
      </c>
    </row>
    <row r="28" spans="1:21" s="21" customFormat="1" ht="12.95" customHeight="1" x14ac:dyDescent="0.2">
      <c r="A28" s="6" t="s">
        <v>43</v>
      </c>
      <c r="B28" s="7" t="s">
        <v>41</v>
      </c>
      <c r="C28" s="6">
        <v>55776.436699999998</v>
      </c>
      <c r="D28" s="6">
        <v>1.8E-3</v>
      </c>
      <c r="E28" s="21">
        <f t="shared" si="0"/>
        <v>1621.0023263850337</v>
      </c>
      <c r="F28" s="21">
        <f t="shared" si="1"/>
        <v>1621</v>
      </c>
      <c r="G28" s="21">
        <f t="shared" si="2"/>
        <v>4.6942999979364686E-3</v>
      </c>
      <c r="K28" s="21">
        <f t="shared" si="5"/>
        <v>4.6942999979364686E-3</v>
      </c>
      <c r="O28" s="21">
        <f t="shared" ca="1" si="3"/>
        <v>1.4680835791282265E-3</v>
      </c>
      <c r="Q28" s="45">
        <f t="shared" si="4"/>
        <v>40757.936699999998</v>
      </c>
    </row>
    <row r="29" spans="1:21" s="21" customFormat="1" ht="12.95" customHeight="1" x14ac:dyDescent="0.2">
      <c r="A29" s="48" t="s">
        <v>46</v>
      </c>
      <c r="B29" s="49" t="s">
        <v>41</v>
      </c>
      <c r="C29" s="48">
        <v>56795.445500000002</v>
      </c>
      <c r="D29" s="48">
        <v>4.0000000000000002E-4</v>
      </c>
      <c r="E29" s="21">
        <f t="shared" si="0"/>
        <v>2125.9992000403195</v>
      </c>
      <c r="F29" s="21">
        <f t="shared" si="1"/>
        <v>2126</v>
      </c>
      <c r="G29" s="21">
        <f t="shared" si="2"/>
        <v>-1.6142000022227876E-3</v>
      </c>
      <c r="K29" s="21">
        <f t="shared" si="5"/>
        <v>-1.6142000022227876E-3</v>
      </c>
      <c r="O29" s="21">
        <f t="shared" ca="1" si="3"/>
        <v>1.7955338160875534E-3</v>
      </c>
      <c r="Q29" s="45">
        <f t="shared" si="4"/>
        <v>41776.945500000002</v>
      </c>
    </row>
    <row r="30" spans="1:21" x14ac:dyDescent="0.2">
      <c r="C30" s="3"/>
      <c r="D30" s="3"/>
      <c r="Q30" s="1"/>
    </row>
    <row r="31" spans="1:21" x14ac:dyDescent="0.2">
      <c r="C31" s="3"/>
      <c r="D31" s="3"/>
      <c r="Q31" s="1"/>
    </row>
    <row r="32" spans="1:21" x14ac:dyDescent="0.2">
      <c r="C32" s="3"/>
      <c r="D32" s="3"/>
      <c r="Q32" s="1"/>
    </row>
    <row r="33" spans="3:17" x14ac:dyDescent="0.2">
      <c r="C33" s="3"/>
      <c r="D33" s="3"/>
      <c r="Q33" s="1"/>
    </row>
    <row r="34" spans="3:17" x14ac:dyDescent="0.2">
      <c r="C34" s="3"/>
      <c r="D34" s="3"/>
    </row>
    <row r="35" spans="3:17" x14ac:dyDescent="0.2">
      <c r="C35" s="3"/>
      <c r="D35" s="3"/>
    </row>
    <row r="36" spans="3:17" x14ac:dyDescent="0.2">
      <c r="C36" s="3"/>
      <c r="D36" s="3"/>
    </row>
    <row r="37" spans="3:17" x14ac:dyDescent="0.2">
      <c r="C37" s="3"/>
      <c r="D37" s="3"/>
    </row>
    <row r="38" spans="3:17" x14ac:dyDescent="0.2">
      <c r="C38" s="3"/>
      <c r="D38" s="3"/>
    </row>
    <row r="39" spans="3:17" x14ac:dyDescent="0.2">
      <c r="C39" s="3"/>
      <c r="D39" s="3"/>
    </row>
    <row r="40" spans="3:17" x14ac:dyDescent="0.2">
      <c r="C40" s="3"/>
      <c r="D40" s="3"/>
    </row>
    <row r="41" spans="3:17" x14ac:dyDescent="0.2">
      <c r="C41" s="3"/>
      <c r="D41" s="3"/>
    </row>
    <row r="42" spans="3:17" x14ac:dyDescent="0.2">
      <c r="C42" s="3"/>
      <c r="D42" s="3"/>
    </row>
    <row r="43" spans="3:17" x14ac:dyDescent="0.2">
      <c r="C43" s="3"/>
      <c r="D43" s="3"/>
    </row>
    <row r="44" spans="3:17" x14ac:dyDescent="0.2">
      <c r="C44" s="3"/>
      <c r="D44" s="3"/>
    </row>
    <row r="45" spans="3:17" x14ac:dyDescent="0.2">
      <c r="C45" s="3"/>
      <c r="D45" s="3"/>
    </row>
    <row r="46" spans="3:17" x14ac:dyDescent="0.2">
      <c r="C46" s="3"/>
      <c r="D46" s="3"/>
    </row>
    <row r="47" spans="3:17" x14ac:dyDescent="0.2">
      <c r="C47" s="3"/>
      <c r="D47" s="3"/>
    </row>
    <row r="48" spans="3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sortState xmlns:xlrd2="http://schemas.microsoft.com/office/spreadsheetml/2017/richdata2" ref="A21:U32">
    <sortCondition ref="C21:C32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846"/>
  <sheetViews>
    <sheetView workbookViewId="0">
      <selection activeCell="A11" sqref="A11:C11"/>
    </sheetView>
  </sheetViews>
  <sheetFormatPr defaultRowHeight="12.75" x14ac:dyDescent="0.2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8" t="s">
        <v>47</v>
      </c>
      <c r="I1" s="9" t="s">
        <v>48</v>
      </c>
      <c r="J1" s="10" t="s">
        <v>49</v>
      </c>
    </row>
    <row r="2" spans="1:16" x14ac:dyDescent="0.2">
      <c r="I2" s="11" t="s">
        <v>50</v>
      </c>
      <c r="J2" s="12" t="s">
        <v>51</v>
      </c>
    </row>
    <row r="3" spans="1:16" x14ac:dyDescent="0.2">
      <c r="A3" s="13" t="s">
        <v>52</v>
      </c>
      <c r="I3" s="11" t="s">
        <v>53</v>
      </c>
      <c r="J3" s="12" t="s">
        <v>54</v>
      </c>
    </row>
    <row r="4" spans="1:16" x14ac:dyDescent="0.2">
      <c r="I4" s="11" t="s">
        <v>55</v>
      </c>
      <c r="J4" s="12" t="s">
        <v>54</v>
      </c>
    </row>
    <row r="5" spans="1:16" ht="13.5" thickBot="1" x14ac:dyDescent="0.25">
      <c r="I5" s="14" t="s">
        <v>56</v>
      </c>
      <c r="J5" s="15" t="s">
        <v>57</v>
      </c>
    </row>
    <row r="10" spans="1:16" ht="13.5" thickBot="1" x14ac:dyDescent="0.25"/>
    <row r="11" spans="1:16" ht="12.75" customHeight="1" thickBot="1" x14ac:dyDescent="0.25">
      <c r="A11" s="3" t="str">
        <f t="shared" ref="A11:A17" si="0">P11</f>
        <v> BBS 120 </v>
      </c>
      <c r="B11" s="2" t="str">
        <f t="shared" ref="B11:B17" si="1">IF(H11=INT(H11),"I","II")</f>
        <v>I</v>
      </c>
      <c r="C11" s="3">
        <f t="shared" ref="C11:C17" si="2">1*G11</f>
        <v>51362.381999999998</v>
      </c>
      <c r="D11" s="4" t="str">
        <f t="shared" ref="D11:D17" si="3">VLOOKUP(F11,I$1:J$5,2,FALSE)</f>
        <v>vis</v>
      </c>
      <c r="E11" s="16">
        <f>VLOOKUP(C11,Active!C$21:E$973,3,FALSE)</f>
        <v>-566.49970857620781</v>
      </c>
      <c r="F11" s="2" t="s">
        <v>56</v>
      </c>
      <c r="G11" s="4" t="str">
        <f t="shared" ref="G11:G17" si="4">MID(I11,3,LEN(I11)-3)</f>
        <v>51362.382</v>
      </c>
      <c r="H11" s="3">
        <f t="shared" ref="H11:H17" si="5">1*K11</f>
        <v>16586</v>
      </c>
      <c r="I11" s="17" t="s">
        <v>58</v>
      </c>
      <c r="J11" s="18" t="s">
        <v>59</v>
      </c>
      <c r="K11" s="17">
        <v>16586</v>
      </c>
      <c r="L11" s="17" t="s">
        <v>60</v>
      </c>
      <c r="M11" s="18" t="s">
        <v>61</v>
      </c>
      <c r="N11" s="18" t="s">
        <v>62</v>
      </c>
      <c r="O11" s="19" t="s">
        <v>63</v>
      </c>
      <c r="P11" s="19" t="s">
        <v>64</v>
      </c>
    </row>
    <row r="12" spans="1:16" ht="12.75" customHeight="1" thickBot="1" x14ac:dyDescent="0.25">
      <c r="A12" s="3" t="str">
        <f t="shared" si="0"/>
        <v>IBVS 5353 </v>
      </c>
      <c r="B12" s="2" t="str">
        <f t="shared" si="1"/>
        <v>I</v>
      </c>
      <c r="C12" s="3">
        <f t="shared" si="2"/>
        <v>52505.494299999998</v>
      </c>
      <c r="D12" s="4" t="str">
        <f t="shared" si="3"/>
        <v>vis</v>
      </c>
      <c r="E12" s="16">
        <f>VLOOKUP(C12,Active!C$21:E$973,3,FALSE)</f>
        <v>-4.9557658151857801E-5</v>
      </c>
      <c r="F12" s="2" t="s">
        <v>56</v>
      </c>
      <c r="G12" s="4" t="str">
        <f t="shared" si="4"/>
        <v>52505.4943</v>
      </c>
      <c r="H12" s="3">
        <f t="shared" si="5"/>
        <v>17719</v>
      </c>
      <c r="I12" s="17" t="s">
        <v>65</v>
      </c>
      <c r="J12" s="18" t="s">
        <v>66</v>
      </c>
      <c r="K12" s="17">
        <v>17719</v>
      </c>
      <c r="L12" s="17" t="s">
        <v>67</v>
      </c>
      <c r="M12" s="18" t="s">
        <v>61</v>
      </c>
      <c r="N12" s="18" t="s">
        <v>62</v>
      </c>
      <c r="O12" s="19" t="s">
        <v>68</v>
      </c>
      <c r="P12" s="20" t="s">
        <v>69</v>
      </c>
    </row>
    <row r="13" spans="1:16" ht="12.75" customHeight="1" thickBot="1" x14ac:dyDescent="0.25">
      <c r="A13" s="3" t="str">
        <f t="shared" si="0"/>
        <v>IBVS 5353 </v>
      </c>
      <c r="B13" s="2" t="str">
        <f t="shared" si="1"/>
        <v>I</v>
      </c>
      <c r="C13" s="3">
        <f t="shared" si="2"/>
        <v>52506.503499999999</v>
      </c>
      <c r="D13" s="4" t="str">
        <f t="shared" si="3"/>
        <v>vis</v>
      </c>
      <c r="E13" s="16">
        <f>VLOOKUP(C13,Active!C$21:E$973,3,FALSE)</f>
        <v>0.50008630465542603</v>
      </c>
      <c r="F13" s="2" t="s">
        <v>56</v>
      </c>
      <c r="G13" s="4" t="str">
        <f t="shared" si="4"/>
        <v>52506.5035</v>
      </c>
      <c r="H13" s="3">
        <f t="shared" si="5"/>
        <v>17720</v>
      </c>
      <c r="I13" s="17" t="s">
        <v>70</v>
      </c>
      <c r="J13" s="18" t="s">
        <v>71</v>
      </c>
      <c r="K13" s="17">
        <v>17720</v>
      </c>
      <c r="L13" s="17" t="s">
        <v>72</v>
      </c>
      <c r="M13" s="18" t="s">
        <v>61</v>
      </c>
      <c r="N13" s="18" t="s">
        <v>62</v>
      </c>
      <c r="O13" s="19" t="s">
        <v>68</v>
      </c>
      <c r="P13" s="20" t="s">
        <v>69</v>
      </c>
    </row>
    <row r="14" spans="1:16" ht="12.75" customHeight="1" thickBot="1" x14ac:dyDescent="0.25">
      <c r="A14" s="3" t="str">
        <f t="shared" si="0"/>
        <v>IBVS 5353 </v>
      </c>
      <c r="B14" s="2" t="str">
        <f t="shared" si="1"/>
        <v>I</v>
      </c>
      <c r="C14" s="3">
        <f t="shared" si="2"/>
        <v>52507.512000000002</v>
      </c>
      <c r="D14" s="4" t="str">
        <f t="shared" si="3"/>
        <v>vis</v>
      </c>
      <c r="E14" s="16">
        <f>VLOOKUP(C14,Active!C$21:E$973,3,FALSE)</f>
        <v>0.9998752633799699</v>
      </c>
      <c r="F14" s="2" t="s">
        <v>56</v>
      </c>
      <c r="G14" s="4" t="str">
        <f t="shared" si="4"/>
        <v>52507.5120</v>
      </c>
      <c r="H14" s="3">
        <f t="shared" si="5"/>
        <v>17721</v>
      </c>
      <c r="I14" s="17" t="s">
        <v>73</v>
      </c>
      <c r="J14" s="18" t="s">
        <v>74</v>
      </c>
      <c r="K14" s="17">
        <v>17721</v>
      </c>
      <c r="L14" s="17" t="s">
        <v>75</v>
      </c>
      <c r="M14" s="18" t="s">
        <v>61</v>
      </c>
      <c r="N14" s="18" t="s">
        <v>62</v>
      </c>
      <c r="O14" s="19" t="s">
        <v>68</v>
      </c>
      <c r="P14" s="20" t="s">
        <v>69</v>
      </c>
    </row>
    <row r="15" spans="1:16" ht="12.75" customHeight="1" thickBot="1" x14ac:dyDescent="0.25">
      <c r="A15" s="3" t="str">
        <f t="shared" si="0"/>
        <v>BAVM 215 </v>
      </c>
      <c r="B15" s="2" t="str">
        <f t="shared" si="1"/>
        <v>I</v>
      </c>
      <c r="C15" s="3">
        <f t="shared" si="2"/>
        <v>55430.373399999997</v>
      </c>
      <c r="D15" s="4" t="str">
        <f t="shared" si="3"/>
        <v>vis</v>
      </c>
      <c r="E15" s="16">
        <f>VLOOKUP(C15,Active!C$21:E$973,3,FALSE)</f>
        <v>1449.5014673278486</v>
      </c>
      <c r="F15" s="2" t="s">
        <v>56</v>
      </c>
      <c r="G15" s="4" t="str">
        <f t="shared" si="4"/>
        <v>55430.3734</v>
      </c>
      <c r="H15" s="3">
        <f t="shared" si="5"/>
        <v>20618</v>
      </c>
      <c r="I15" s="17" t="s">
        <v>76</v>
      </c>
      <c r="J15" s="18" t="s">
        <v>77</v>
      </c>
      <c r="K15" s="17">
        <v>20618</v>
      </c>
      <c r="L15" s="17" t="s">
        <v>78</v>
      </c>
      <c r="M15" s="18" t="s">
        <v>79</v>
      </c>
      <c r="N15" s="18" t="s">
        <v>80</v>
      </c>
      <c r="O15" s="19" t="s">
        <v>81</v>
      </c>
      <c r="P15" s="20" t="s">
        <v>82</v>
      </c>
    </row>
    <row r="16" spans="1:16" ht="12.75" customHeight="1" thickBot="1" x14ac:dyDescent="0.25">
      <c r="A16" s="3" t="str">
        <f t="shared" si="0"/>
        <v>BAVM 220 </v>
      </c>
      <c r="B16" s="2" t="str">
        <f t="shared" si="1"/>
        <v>I</v>
      </c>
      <c r="C16" s="3">
        <f t="shared" si="2"/>
        <v>55776.436699999998</v>
      </c>
      <c r="D16" s="4" t="str">
        <f t="shared" si="3"/>
        <v>vis</v>
      </c>
      <c r="E16" s="16">
        <f>VLOOKUP(C16,Active!C$21:E$973,3,FALSE)</f>
        <v>1621.0023263850337</v>
      </c>
      <c r="F16" s="2" t="s">
        <v>56</v>
      </c>
      <c r="G16" s="4" t="str">
        <f t="shared" si="4"/>
        <v>55776.4367</v>
      </c>
      <c r="H16" s="3">
        <f t="shared" si="5"/>
        <v>20961</v>
      </c>
      <c r="I16" s="17" t="s">
        <v>83</v>
      </c>
      <c r="J16" s="18" t="s">
        <v>84</v>
      </c>
      <c r="K16" s="17" t="s">
        <v>85</v>
      </c>
      <c r="L16" s="17" t="s">
        <v>86</v>
      </c>
      <c r="M16" s="18" t="s">
        <v>79</v>
      </c>
      <c r="N16" s="18" t="s">
        <v>80</v>
      </c>
      <c r="O16" s="19" t="s">
        <v>81</v>
      </c>
      <c r="P16" s="20" t="s">
        <v>87</v>
      </c>
    </row>
    <row r="17" spans="1:16" ht="12.75" customHeight="1" thickBot="1" x14ac:dyDescent="0.25">
      <c r="A17" s="3" t="str">
        <f t="shared" si="0"/>
        <v>BAVM 238 </v>
      </c>
      <c r="B17" s="2" t="str">
        <f t="shared" si="1"/>
        <v>I</v>
      </c>
      <c r="C17" s="3">
        <f t="shared" si="2"/>
        <v>56795.445500000002</v>
      </c>
      <c r="D17" s="4" t="str">
        <f t="shared" si="3"/>
        <v>vis</v>
      </c>
      <c r="E17" s="16">
        <f>VLOOKUP(C17,Active!C$21:E$973,3,FALSE)</f>
        <v>2125.9992000403195</v>
      </c>
      <c r="F17" s="2" t="s">
        <v>56</v>
      </c>
      <c r="G17" s="4" t="str">
        <f t="shared" si="4"/>
        <v>56795.4455</v>
      </c>
      <c r="H17" s="3">
        <f t="shared" si="5"/>
        <v>21971</v>
      </c>
      <c r="I17" s="17" t="s">
        <v>88</v>
      </c>
      <c r="J17" s="18" t="s">
        <v>89</v>
      </c>
      <c r="K17" s="17" t="s">
        <v>90</v>
      </c>
      <c r="L17" s="17" t="s">
        <v>91</v>
      </c>
      <c r="M17" s="18" t="s">
        <v>79</v>
      </c>
      <c r="N17" s="18" t="s">
        <v>92</v>
      </c>
      <c r="O17" s="19" t="s">
        <v>93</v>
      </c>
      <c r="P17" s="20" t="s">
        <v>94</v>
      </c>
    </row>
    <row r="18" spans="1:16" x14ac:dyDescent="0.2">
      <c r="B18" s="2"/>
      <c r="E18" s="16"/>
      <c r="F18" s="2"/>
    </row>
    <row r="19" spans="1:16" x14ac:dyDescent="0.2">
      <c r="B19" s="2"/>
      <c r="E19" s="16"/>
      <c r="F19" s="2"/>
    </row>
    <row r="20" spans="1:16" x14ac:dyDescent="0.2">
      <c r="B20" s="2"/>
      <c r="E20" s="16"/>
      <c r="F20" s="2"/>
    </row>
    <row r="21" spans="1:16" x14ac:dyDescent="0.2">
      <c r="B21" s="2"/>
      <c r="E21" s="16"/>
      <c r="F21" s="2"/>
    </row>
    <row r="22" spans="1:16" x14ac:dyDescent="0.2">
      <c r="B22" s="2"/>
      <c r="E22" s="16"/>
      <c r="F22" s="2"/>
    </row>
    <row r="23" spans="1:16" x14ac:dyDescent="0.2">
      <c r="B23" s="2"/>
      <c r="E23" s="16"/>
      <c r="F23" s="2"/>
    </row>
    <row r="24" spans="1:16" x14ac:dyDescent="0.2">
      <c r="B24" s="2"/>
      <c r="E24" s="16"/>
      <c r="F24" s="2"/>
    </row>
    <row r="25" spans="1:16" x14ac:dyDescent="0.2">
      <c r="B25" s="2"/>
      <c r="E25" s="16"/>
      <c r="F25" s="2"/>
    </row>
    <row r="26" spans="1:16" x14ac:dyDescent="0.2">
      <c r="B26" s="2"/>
      <c r="E26" s="16"/>
      <c r="F26" s="2"/>
    </row>
    <row r="27" spans="1:16" x14ac:dyDescent="0.2">
      <c r="B27" s="2"/>
      <c r="E27" s="16"/>
      <c r="F27" s="2"/>
    </row>
    <row r="28" spans="1:16" x14ac:dyDescent="0.2">
      <c r="B28" s="2"/>
      <c r="E28" s="16"/>
      <c r="F28" s="2"/>
    </row>
    <row r="29" spans="1:16" x14ac:dyDescent="0.2">
      <c r="B29" s="2"/>
      <c r="E29" s="16"/>
      <c r="F29" s="2"/>
    </row>
    <row r="30" spans="1:16" x14ac:dyDescent="0.2">
      <c r="B30" s="2"/>
      <c r="E30" s="16"/>
      <c r="F30" s="2"/>
    </row>
    <row r="31" spans="1:16" x14ac:dyDescent="0.2">
      <c r="B31" s="2"/>
      <c r="E31" s="16"/>
      <c r="F31" s="2"/>
    </row>
    <row r="32" spans="1:16" x14ac:dyDescent="0.2">
      <c r="B32" s="2"/>
      <c r="E32" s="16"/>
      <c r="F32" s="2"/>
    </row>
    <row r="33" spans="2:6" x14ac:dyDescent="0.2">
      <c r="B33" s="2"/>
      <c r="E33" s="16"/>
      <c r="F33" s="2"/>
    </row>
    <row r="34" spans="2:6" x14ac:dyDescent="0.2">
      <c r="B34" s="2"/>
      <c r="E34" s="16"/>
      <c r="F34" s="2"/>
    </row>
    <row r="35" spans="2:6" x14ac:dyDescent="0.2">
      <c r="B35" s="2"/>
      <c r="E35" s="16"/>
      <c r="F35" s="2"/>
    </row>
    <row r="36" spans="2:6" x14ac:dyDescent="0.2">
      <c r="B36" s="2"/>
      <c r="E36" s="16"/>
      <c r="F36" s="2"/>
    </row>
    <row r="37" spans="2:6" x14ac:dyDescent="0.2">
      <c r="B37" s="2"/>
      <c r="E37" s="16"/>
      <c r="F37" s="2"/>
    </row>
    <row r="38" spans="2:6" x14ac:dyDescent="0.2">
      <c r="B38" s="2"/>
      <c r="E38" s="16"/>
      <c r="F38" s="2"/>
    </row>
    <row r="39" spans="2:6" x14ac:dyDescent="0.2">
      <c r="B39" s="2"/>
      <c r="E39" s="16"/>
      <c r="F39" s="2"/>
    </row>
    <row r="40" spans="2:6" x14ac:dyDescent="0.2">
      <c r="B40" s="2"/>
      <c r="E40" s="16"/>
      <c r="F40" s="2"/>
    </row>
    <row r="41" spans="2:6" x14ac:dyDescent="0.2">
      <c r="B41" s="2"/>
      <c r="E41" s="16"/>
      <c r="F41" s="2"/>
    </row>
    <row r="42" spans="2:6" x14ac:dyDescent="0.2">
      <c r="B42" s="2"/>
      <c r="E42" s="16"/>
      <c r="F42" s="2"/>
    </row>
    <row r="43" spans="2:6" x14ac:dyDescent="0.2">
      <c r="B43" s="2"/>
      <c r="E43" s="16"/>
      <c r="F43" s="2"/>
    </row>
    <row r="44" spans="2:6" x14ac:dyDescent="0.2">
      <c r="B44" s="2"/>
      <c r="E44" s="16"/>
      <c r="F44" s="2"/>
    </row>
    <row r="45" spans="2:6" x14ac:dyDescent="0.2">
      <c r="B45" s="2"/>
      <c r="E45" s="16"/>
      <c r="F45" s="2"/>
    </row>
    <row r="46" spans="2:6" x14ac:dyDescent="0.2">
      <c r="B46" s="2"/>
      <c r="E46" s="16"/>
      <c r="F46" s="2"/>
    </row>
    <row r="47" spans="2:6" x14ac:dyDescent="0.2">
      <c r="B47" s="2"/>
      <c r="E47" s="16"/>
      <c r="F47" s="2"/>
    </row>
    <row r="48" spans="2:6" x14ac:dyDescent="0.2">
      <c r="B48" s="2"/>
      <c r="E48" s="16"/>
      <c r="F48" s="2"/>
    </row>
    <row r="49" spans="2:6" x14ac:dyDescent="0.2">
      <c r="B49" s="2"/>
      <c r="E49" s="16"/>
      <c r="F49" s="2"/>
    </row>
    <row r="50" spans="2:6" x14ac:dyDescent="0.2">
      <c r="B50" s="2"/>
      <c r="E50" s="16"/>
      <c r="F50" s="2"/>
    </row>
    <row r="51" spans="2:6" x14ac:dyDescent="0.2">
      <c r="B51" s="2"/>
      <c r="E51" s="16"/>
      <c r="F51" s="2"/>
    </row>
    <row r="52" spans="2:6" x14ac:dyDescent="0.2">
      <c r="B52" s="2"/>
      <c r="E52" s="16"/>
      <c r="F52" s="2"/>
    </row>
    <row r="53" spans="2:6" x14ac:dyDescent="0.2">
      <c r="B53" s="2"/>
      <c r="E53" s="16"/>
      <c r="F53" s="2"/>
    </row>
    <row r="54" spans="2:6" x14ac:dyDescent="0.2">
      <c r="B54" s="2"/>
      <c r="E54" s="16"/>
      <c r="F54" s="2"/>
    </row>
    <row r="55" spans="2:6" x14ac:dyDescent="0.2">
      <c r="B55" s="2"/>
      <c r="E55" s="16"/>
      <c r="F55" s="2"/>
    </row>
    <row r="56" spans="2:6" x14ac:dyDescent="0.2">
      <c r="B56" s="2"/>
      <c r="E56" s="16"/>
      <c r="F56" s="2"/>
    </row>
    <row r="57" spans="2:6" x14ac:dyDescent="0.2">
      <c r="B57" s="2"/>
      <c r="E57" s="16"/>
      <c r="F57" s="2"/>
    </row>
    <row r="58" spans="2:6" x14ac:dyDescent="0.2">
      <c r="B58" s="2"/>
      <c r="E58" s="16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  <row r="818" spans="2:6" x14ac:dyDescent="0.2">
      <c r="B818" s="2"/>
      <c r="F818" s="2"/>
    </row>
    <row r="819" spans="2:6" x14ac:dyDescent="0.2">
      <c r="B819" s="2"/>
      <c r="F819" s="2"/>
    </row>
    <row r="820" spans="2:6" x14ac:dyDescent="0.2">
      <c r="B820" s="2"/>
      <c r="F820" s="2"/>
    </row>
    <row r="821" spans="2:6" x14ac:dyDescent="0.2">
      <c r="B821" s="2"/>
      <c r="F821" s="2"/>
    </row>
    <row r="822" spans="2:6" x14ac:dyDescent="0.2">
      <c r="B822" s="2"/>
      <c r="F822" s="2"/>
    </row>
    <row r="823" spans="2:6" x14ac:dyDescent="0.2">
      <c r="B823" s="2"/>
      <c r="F823" s="2"/>
    </row>
    <row r="824" spans="2:6" x14ac:dyDescent="0.2">
      <c r="B824" s="2"/>
      <c r="F824" s="2"/>
    </row>
    <row r="825" spans="2:6" x14ac:dyDescent="0.2">
      <c r="B825" s="2"/>
      <c r="F825" s="2"/>
    </row>
    <row r="826" spans="2:6" x14ac:dyDescent="0.2">
      <c r="B826" s="2"/>
      <c r="F826" s="2"/>
    </row>
    <row r="827" spans="2:6" x14ac:dyDescent="0.2">
      <c r="B827" s="2"/>
      <c r="F827" s="2"/>
    </row>
    <row r="828" spans="2:6" x14ac:dyDescent="0.2">
      <c r="B828" s="2"/>
      <c r="F828" s="2"/>
    </row>
    <row r="829" spans="2:6" x14ac:dyDescent="0.2">
      <c r="B829" s="2"/>
      <c r="F829" s="2"/>
    </row>
    <row r="830" spans="2:6" x14ac:dyDescent="0.2">
      <c r="B830" s="2"/>
      <c r="F830" s="2"/>
    </row>
    <row r="831" spans="2:6" x14ac:dyDescent="0.2">
      <c r="B831" s="2"/>
      <c r="F831" s="2"/>
    </row>
    <row r="832" spans="2:6" x14ac:dyDescent="0.2">
      <c r="B832" s="2"/>
      <c r="F832" s="2"/>
    </row>
    <row r="833" spans="2:6" x14ac:dyDescent="0.2">
      <c r="B833" s="2"/>
      <c r="F833" s="2"/>
    </row>
    <row r="834" spans="2:6" x14ac:dyDescent="0.2">
      <c r="B834" s="2"/>
      <c r="F834" s="2"/>
    </row>
    <row r="835" spans="2:6" x14ac:dyDescent="0.2">
      <c r="B835" s="2"/>
      <c r="F835" s="2"/>
    </row>
    <row r="836" spans="2:6" x14ac:dyDescent="0.2">
      <c r="B836" s="2"/>
      <c r="F836" s="2"/>
    </row>
    <row r="837" spans="2:6" x14ac:dyDescent="0.2">
      <c r="B837" s="2"/>
      <c r="F837" s="2"/>
    </row>
    <row r="838" spans="2:6" x14ac:dyDescent="0.2">
      <c r="B838" s="2"/>
      <c r="F838" s="2"/>
    </row>
    <row r="839" spans="2:6" x14ac:dyDescent="0.2">
      <c r="B839" s="2"/>
      <c r="F839" s="2"/>
    </row>
    <row r="840" spans="2:6" x14ac:dyDescent="0.2">
      <c r="B840" s="2"/>
      <c r="F840" s="2"/>
    </row>
    <row r="841" spans="2:6" x14ac:dyDescent="0.2">
      <c r="B841" s="2"/>
      <c r="F841" s="2"/>
    </row>
    <row r="842" spans="2:6" x14ac:dyDescent="0.2">
      <c r="B842" s="2"/>
      <c r="F842" s="2"/>
    </row>
    <row r="843" spans="2:6" x14ac:dyDescent="0.2">
      <c r="B843" s="2"/>
      <c r="F843" s="2"/>
    </row>
    <row r="844" spans="2:6" x14ac:dyDescent="0.2">
      <c r="B844" s="2"/>
      <c r="F844" s="2"/>
    </row>
    <row r="845" spans="2:6" x14ac:dyDescent="0.2">
      <c r="B845" s="2"/>
      <c r="F845" s="2"/>
    </row>
    <row r="846" spans="2:6" x14ac:dyDescent="0.2">
      <c r="B846" s="2"/>
      <c r="F846" s="2"/>
    </row>
  </sheetData>
  <phoneticPr fontId="7" type="noConversion"/>
  <hyperlinks>
    <hyperlink ref="P12" r:id="rId1" display="http://www.konkoly.hu/cgi-bin/IBVS?5353" xr:uid="{00000000-0004-0000-0100-000000000000}"/>
    <hyperlink ref="P13" r:id="rId2" display="http://www.konkoly.hu/cgi-bin/IBVS?5353" xr:uid="{00000000-0004-0000-0100-000001000000}"/>
    <hyperlink ref="P14" r:id="rId3" display="http://www.konkoly.hu/cgi-bin/IBVS?5353" xr:uid="{00000000-0004-0000-0100-000002000000}"/>
    <hyperlink ref="P15" r:id="rId4" display="http://www.bav-astro.de/sfs/BAVM_link.php?BAVMnr=215" xr:uid="{00000000-0004-0000-0100-000003000000}"/>
    <hyperlink ref="P16" r:id="rId5" display="http://www.bav-astro.de/sfs/BAVM_link.php?BAVMnr=220" xr:uid="{00000000-0004-0000-0100-000004000000}"/>
    <hyperlink ref="P17" r:id="rId6" display="http://www.bav-astro.de/sfs/BAVM_link.php?BAVMnr=238" xr:uid="{00000000-0004-0000-0100-000005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2024-07-29T05:57:25Z</dcterms:modified>
</cp:coreProperties>
</file>