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A84340F-36A4-4A3A-A262-504347D35D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4" i="1" l="1"/>
  <c r="D9" i="1"/>
  <c r="C9" i="1"/>
  <c r="E24" i="1"/>
  <c r="F24" i="1"/>
  <c r="G24" i="1"/>
  <c r="J24" i="1"/>
  <c r="E23" i="1"/>
  <c r="F23" i="1"/>
  <c r="G23" i="1"/>
  <c r="J23" i="1"/>
  <c r="Q23" i="1"/>
  <c r="E22" i="1"/>
  <c r="F22" i="1"/>
  <c r="G22" i="1"/>
  <c r="J22" i="1"/>
  <c r="Q22" i="1"/>
  <c r="E21" i="1"/>
  <c r="F21" i="1"/>
  <c r="G21" i="1"/>
  <c r="H21" i="1"/>
  <c r="F14" i="1"/>
  <c r="F15" i="1" s="1"/>
  <c r="C17" i="1"/>
  <c r="R22" i="1"/>
  <c r="Q21" i="1"/>
  <c r="C12" i="1"/>
  <c r="C11" i="1"/>
  <c r="C16" i="1" l="1"/>
  <c r="D18" i="1" s="1"/>
  <c r="O22" i="1"/>
  <c r="O24" i="1"/>
  <c r="O21" i="1"/>
  <c r="O23" i="1"/>
  <c r="C15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<sst xmlns="http://schemas.openxmlformats.org/spreadsheetml/2006/main" count="58" uniqueCount="53">
  <si>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</si>
  <si>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</si>
  <si>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</si>
  <si>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</si>
  <si>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</si>
  <si>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</si>
  <si>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</si>
  <si>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</si>
  <si>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</si>
  <si>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</si>
  <si>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</si>
  <si>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</si>
  <si>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</si>
  <si>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</si>
  <si>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</si>
  <si>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</si>
  <si>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</si>
  <si>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</si>
  <si>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</si>
  <si>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</si>
  <si>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</si>
  <si>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</si>
  <si>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</si>
  <si>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</si>
  <si>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</si>
  <si>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</si>
  <si>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</si>
  <si>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</si>
  <si>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</si>
  <si>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</si>
  <si>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</si>
  <si>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</si>
  <si>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</si>
  <si>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</si>
  <si>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</si>
  <si>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</si>
  <si>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OEJV 0091</t>
  </si>
  <si>
    <t>EW</t>
  </si>
  <si>
    <t>not avail.</t>
  </si>
  <si>
    <t>Vul</t>
  </si>
  <si>
    <t>IBVS 6018</t>
  </si>
  <si>
    <t>RHN 2019</t>
  </si>
  <si>
    <t>IBVS 6092</t>
  </si>
  <si>
    <t>Vis</t>
  </si>
  <si>
    <t>CCD</t>
  </si>
  <si>
    <t>Nelson pers coms</t>
  </si>
  <si>
    <t>OEJV</t>
  </si>
  <si>
    <t>Next Tom-S</t>
  </si>
  <si>
    <t>Next ToM-P</t>
  </si>
  <si>
    <t>10.78-11.20</t>
  </si>
  <si>
    <t xml:space="preserve">Mag R1 </t>
  </si>
  <si>
    <t>GSC 2166-0041 Vul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</si>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</sst>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00"/>
    <numFmt numFmtId="166" formatCode="0.0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37">
    <xf numFmtId="0" fontId="0" fillId="0" borderId="0" xfId="0" applyAlignment="1"/>
    <xf numFmtId="0" fontId="0" fillId="0" borderId="0" xfId="0" applyAlignment="1">
      <alignment horizontal="left"/>
    </xf>
    <xf numFmtId="0" fontId="1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8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vertical="center"/>
    </xf>
    <xf numFmtId="165" fontId="14" fillId="0" borderId="9" xfId="0" applyNumberFormat="1" applyFont="1" applyBorder="1" applyAlignment="1">
      <alignment vertical="center"/>
    </xf>
    <xf numFmtId="166" fontId="14" fillId="0" borderId="9" xfId="0" applyNumberFormat="1" applyFont="1" applyBorder="1" applyAlignment="1">
      <alignment vertical="center"/>
    </xf>
    <xf numFmtId="22" fontId="14" fillId="0" borderId="9" xfId="0" applyNumberFormat="1" applyFont="1" applyBorder="1" applyAlignment="1">
      <alignment vertical="center"/>
    </xf>
    <xf numFmtId="22" fontId="14" fillId="0" borderId="10" xfId="0" applyNumberFormat="1" applyFont="1" applyBorder="1" applyAlignment="1">
      <alignment vertical="center"/>
    </xf>
    <xf numFmtId="0" fontId="0" fillId="0" borderId="11" xfId="0" applyBorder="1" applyAlignment="1">
      <alignment horizontal="right" vertical="center"/>
    </xf>
    <xf numFmtId="0" fontId="12" fillId="2" borderId="6" xfId="0" applyFont="1" applyFill="1" applyBorder="1" applyAlignment="1">
      <alignment horizontal="right" vertical="center"/>
    </xf>
    <xf numFmtId="0" fontId="12" fillId="2" borderId="7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2166-0041 Vul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6857.5</c:v>
                </c:pt>
                <c:pt idx="2">
                  <c:v>8096.5</c:v>
                </c:pt>
                <c:pt idx="3">
                  <c:v>11426.5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FA-47C3-89C8-E54FD300639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6857.5</c:v>
                </c:pt>
                <c:pt idx="2">
                  <c:v>8096.5</c:v>
                </c:pt>
                <c:pt idx="3">
                  <c:v>11426.5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9FA-47C3-89C8-E54FD300639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6857.5</c:v>
                </c:pt>
                <c:pt idx="2">
                  <c:v>8096.5</c:v>
                </c:pt>
                <c:pt idx="3">
                  <c:v>11426.5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6.724999999278225E-3</c:v>
                </c:pt>
                <c:pt idx="2">
                  <c:v>7.8949999951873906E-3</c:v>
                </c:pt>
                <c:pt idx="3">
                  <c:v>1.8772937532048672E-2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9FA-47C3-89C8-E54FD300639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6857.5</c:v>
                </c:pt>
                <c:pt idx="2">
                  <c:v>8096.5</c:v>
                </c:pt>
                <c:pt idx="3">
                  <c:v>11426.5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9FA-47C3-89C8-E54FD300639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6857.5</c:v>
                </c:pt>
                <c:pt idx="2">
                  <c:v>8096.5</c:v>
                </c:pt>
                <c:pt idx="3">
                  <c:v>11426.5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9FA-47C3-89C8-E54FD300639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6857.5</c:v>
                </c:pt>
                <c:pt idx="2">
                  <c:v>8096.5</c:v>
                </c:pt>
                <c:pt idx="3">
                  <c:v>11426.5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9FA-47C3-89C8-E54FD300639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6857.5</c:v>
                </c:pt>
                <c:pt idx="2">
                  <c:v>8096.5</c:v>
                </c:pt>
                <c:pt idx="3">
                  <c:v>11426.5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9FA-47C3-89C8-E54FD300639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6857.5</c:v>
                </c:pt>
                <c:pt idx="2">
                  <c:v>8096.5</c:v>
                </c:pt>
                <c:pt idx="3">
                  <c:v>11426.5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-1.3207536766999532E-2</c:v>
                </c:pt>
                <c:pt idx="1">
                  <c:v>5.7725477358404297E-3</c:v>
                </c:pt>
                <c:pt idx="2">
                  <c:v>9.2018331458322208E-3</c:v>
                </c:pt>
                <c:pt idx="3">
                  <c:v>1.8418556644841634E-2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9FA-47C3-89C8-E54FD3006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6811552"/>
        <c:axId val="1"/>
      </c:scatterChart>
      <c:valAx>
        <c:axId val="746811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68115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060150375939848"/>
          <c:y val="0.92397937099967764"/>
          <c:w val="0.664661654135338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B3A4614-A85B-AD97-2EA7-A0DFDD3DCC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140625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s="3" customFormat="1" ht="20.25" x14ac:dyDescent="0.2">
      <c r="A1" s="26" t="s">
        <v>51</v>
      </c>
    </row>
    <row r="2" spans="1:6" s="3" customFormat="1" ht="12.95" customHeight="1" x14ac:dyDescent="0.2">
      <c r="A2" s="3" t="s">
        <v>23</v>
      </c>
      <c r="B2" s="3" t="s">
        <v>37</v>
      </c>
      <c r="D2" s="4" t="s">
        <v>39</v>
      </c>
    </row>
    <row r="3" spans="1:6" s="3" customFormat="1" ht="12.95" customHeight="1" thickBot="1" x14ac:dyDescent="0.25"/>
    <row r="4" spans="1:6" s="3" customFormat="1" ht="12.95" customHeight="1" thickTop="1" thickBot="1" x14ac:dyDescent="0.25">
      <c r="A4" s="5" t="s">
        <v>0</v>
      </c>
      <c r="C4" s="6" t="s">
        <v>38</v>
      </c>
      <c r="D4" s="7" t="s">
        <v>38</v>
      </c>
    </row>
    <row r="5" spans="1:6" s="3" customFormat="1" ht="12.95" customHeight="1" thickTop="1" x14ac:dyDescent="0.2">
      <c r="A5" s="8" t="s">
        <v>29</v>
      </c>
      <c r="C5" s="9">
        <v>-9.5</v>
      </c>
      <c r="D5" s="3" t="s">
        <v>30</v>
      </c>
    </row>
    <row r="6" spans="1:6" s="3" customFormat="1" ht="12.95" customHeight="1" x14ac:dyDescent="0.2">
      <c r="A6" s="5" t="s">
        <v>1</v>
      </c>
    </row>
    <row r="7" spans="1:6" s="3" customFormat="1" ht="12.95" customHeight="1" x14ac:dyDescent="0.2">
      <c r="A7" s="3" t="s">
        <v>2</v>
      </c>
      <c r="C7" s="3">
        <v>51330.705000000002</v>
      </c>
      <c r="D7" s="36" t="s">
        <v>52</v>
      </c>
    </row>
    <row r="8" spans="1:6" s="3" customFormat="1" ht="12.95" customHeight="1" x14ac:dyDescent="0.2">
      <c r="A8" s="3" t="s">
        <v>3</v>
      </c>
      <c r="C8" s="3">
        <v>0.63756999999999997</v>
      </c>
      <c r="D8" s="36" t="s">
        <v>52</v>
      </c>
    </row>
    <row r="9" spans="1:6" s="3" customFormat="1" ht="12.95" customHeight="1" x14ac:dyDescent="0.2">
      <c r="A9" s="10" t="s">
        <v>32</v>
      </c>
      <c r="B9" s="11">
        <v>22</v>
      </c>
      <c r="C9" s="12" t="str">
        <f>"F"&amp;B9</f>
        <v>F22</v>
      </c>
      <c r="D9" s="13" t="str">
        <f>"G"&amp;B9</f>
        <v>G22</v>
      </c>
    </row>
    <row r="10" spans="1:6" s="3" customFormat="1" ht="12.95" customHeight="1" thickBot="1" x14ac:dyDescent="0.25">
      <c r="C10" s="14" t="s">
        <v>19</v>
      </c>
      <c r="D10" s="14" t="s">
        <v>20</v>
      </c>
    </row>
    <row r="11" spans="1:6" s="3" customFormat="1" ht="12.95" customHeight="1" x14ac:dyDescent="0.2">
      <c r="A11" s="3" t="s">
        <v>15</v>
      </c>
      <c r="C11" s="13">
        <f ca="1">INTERCEPT(INDIRECT($D$9):G992,INDIRECT($C$9):F992)</f>
        <v>-1.3207536766999532E-2</v>
      </c>
      <c r="D11" s="4"/>
    </row>
    <row r="12" spans="1:6" s="3" customFormat="1" ht="12.95" customHeight="1" x14ac:dyDescent="0.2">
      <c r="A12" s="3" t="s">
        <v>16</v>
      </c>
      <c r="C12" s="13">
        <f ca="1">SLOPE(INDIRECT($D$9):G992,INDIRECT($C$9):F992)</f>
        <v>2.7677848345373622E-6</v>
      </c>
      <c r="D12" s="4"/>
      <c r="E12" s="34" t="s">
        <v>50</v>
      </c>
      <c r="F12" s="35" t="s">
        <v>49</v>
      </c>
    </row>
    <row r="13" spans="1:6" s="3" customFormat="1" ht="12.95" customHeight="1" x14ac:dyDescent="0.2">
      <c r="A13" s="3" t="s">
        <v>18</v>
      </c>
      <c r="C13" s="4" t="s">
        <v>13</v>
      </c>
      <c r="E13" s="27" t="s">
        <v>33</v>
      </c>
      <c r="F13" s="28">
        <v>1</v>
      </c>
    </row>
    <row r="14" spans="1:6" s="3" customFormat="1" ht="12.95" customHeight="1" x14ac:dyDescent="0.2">
      <c r="E14" s="27" t="s">
        <v>31</v>
      </c>
      <c r="F14" s="29">
        <f ca="1">NOW()+15018.5+$C$5/24</f>
        <v>60520.73891944444</v>
      </c>
    </row>
    <row r="15" spans="1:6" s="3" customFormat="1" ht="12.95" customHeight="1" x14ac:dyDescent="0.2">
      <c r="A15" s="15" t="s">
        <v>17</v>
      </c>
      <c r="C15" s="16">
        <f ca="1">(C7+C11)+(C8+C12)*INT(MAX(F21:F3533))</f>
        <v>58615.598237172759</v>
      </c>
      <c r="E15" s="27" t="s">
        <v>34</v>
      </c>
      <c r="F15" s="30">
        <f ca="1">ROUND(2*(F14-$C$7)/$C$8,0)/2+F13</f>
        <v>14415</v>
      </c>
    </row>
    <row r="16" spans="1:6" s="3" customFormat="1" ht="12.95" customHeight="1" x14ac:dyDescent="0.2">
      <c r="A16" s="5" t="s">
        <v>4</v>
      </c>
      <c r="C16" s="18">
        <f ca="1">+C8+C12</f>
        <v>0.63757276778483452</v>
      </c>
      <c r="E16" s="27" t="s">
        <v>35</v>
      </c>
      <c r="F16" s="30">
        <f ca="1">ROUND(2*(F14-$C$15)/$C$16,0)/2+F13</f>
        <v>2989</v>
      </c>
    </row>
    <row r="17" spans="1:22" s="3" customFormat="1" ht="12.95" customHeight="1" thickBot="1" x14ac:dyDescent="0.25">
      <c r="A17" s="17" t="s">
        <v>28</v>
      </c>
      <c r="C17" s="3">
        <f>COUNT(C21:C2191)</f>
        <v>4</v>
      </c>
      <c r="E17" s="27" t="s">
        <v>48</v>
      </c>
      <c r="F17" s="31">
        <f ca="1">+($C$15+$C$16*F16)-15018.5-$C$5/24</f>
        <v>45503.199073414966</v>
      </c>
    </row>
    <row r="18" spans="1:22" s="3" customFormat="1" ht="12.95" customHeight="1" thickTop="1" thickBot="1" x14ac:dyDescent="0.25">
      <c r="A18" s="5" t="s">
        <v>5</v>
      </c>
      <c r="C18" s="19">
        <f ca="1">+C15</f>
        <v>58615.598237172759</v>
      </c>
      <c r="D18" s="20">
        <f ca="1">+C16</f>
        <v>0.63757276778483452</v>
      </c>
      <c r="E18" s="33" t="s">
        <v>47</v>
      </c>
      <c r="F18" s="32">
        <f ca="1">+($C$15+$C$16*F16)-($C$16/2)-15018.5-$C$5/24</f>
        <v>45502.880287031076</v>
      </c>
    </row>
    <row r="19" spans="1:22" s="3" customFormat="1" ht="12.95" customHeight="1" thickTop="1" x14ac:dyDescent="0.2"/>
    <row r="20" spans="1:22" s="3" customFormat="1" ht="12.95" customHeight="1" thickBot="1" x14ac:dyDescent="0.25">
      <c r="A20" s="14" t="s">
        <v>6</v>
      </c>
      <c r="B20" s="14" t="s">
        <v>7</v>
      </c>
      <c r="C20" s="14" t="s">
        <v>8</v>
      </c>
      <c r="D20" s="14" t="s">
        <v>12</v>
      </c>
      <c r="E20" s="14" t="s">
        <v>9</v>
      </c>
      <c r="F20" s="14" t="s">
        <v>10</v>
      </c>
      <c r="G20" s="14" t="s">
        <v>11</v>
      </c>
      <c r="H20" s="21" t="s">
        <v>46</v>
      </c>
      <c r="I20" s="21" t="s">
        <v>43</v>
      </c>
      <c r="J20" s="21" t="s">
        <v>44</v>
      </c>
      <c r="K20" s="21" t="s">
        <v>24</v>
      </c>
      <c r="L20" s="21" t="s">
        <v>25</v>
      </c>
      <c r="M20" s="21" t="s">
        <v>26</v>
      </c>
      <c r="N20" s="21" t="s">
        <v>27</v>
      </c>
      <c r="O20" s="21" t="s">
        <v>22</v>
      </c>
      <c r="P20" s="22" t="s">
        <v>21</v>
      </c>
      <c r="Q20" s="14" t="s">
        <v>14</v>
      </c>
    </row>
    <row r="21" spans="1:22" s="3" customFormat="1" ht="12.95" customHeight="1" x14ac:dyDescent="0.2">
      <c r="A21" s="2" t="s">
        <v>36</v>
      </c>
      <c r="C21" s="23">
        <v>51330.705000000002</v>
      </c>
      <c r="D21" s="23" t="s">
        <v>13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>
        <f ca="1">+C$11+C$12*$F21</f>
        <v>-1.3207536766999532E-2</v>
      </c>
      <c r="Q21" s="24">
        <f>+C21-15018.5</f>
        <v>36312.205000000002</v>
      </c>
    </row>
    <row r="22" spans="1:22" s="3" customFormat="1" ht="12.95" customHeight="1" x14ac:dyDescent="0.2">
      <c r="A22" s="5" t="s">
        <v>40</v>
      </c>
      <c r="C22" s="23">
        <v>55702.847999999998</v>
      </c>
      <c r="D22" s="23">
        <v>1E-3</v>
      </c>
      <c r="E22" s="3">
        <f>+(C22-C$7)/C$8</f>
        <v>6857.5105478614059</v>
      </c>
      <c r="F22" s="3">
        <f>ROUND(2*E22,0)/2</f>
        <v>6857.5</v>
      </c>
      <c r="G22" s="3">
        <f>+C22-(C$7+F22*C$8)</f>
        <v>6.724999999278225E-3</v>
      </c>
      <c r="J22" s="3">
        <f>+G22</f>
        <v>6.724999999278225E-3</v>
      </c>
      <c r="O22" s="3">
        <f ca="1">+C$11+C$12*$F22</f>
        <v>5.7725477358404297E-3</v>
      </c>
      <c r="Q22" s="24">
        <f>+C22-15018.5</f>
        <v>40684.347999999998</v>
      </c>
      <c r="R22" s="3" t="str">
        <f>IF(ABS(C22-C21)&lt;0.00001,1,"")</f>
        <v/>
      </c>
      <c r="V22" s="25" t="s">
        <v>45</v>
      </c>
    </row>
    <row r="23" spans="1:22" s="3" customFormat="1" ht="12.95" customHeight="1" x14ac:dyDescent="0.2">
      <c r="A23" s="5" t="s">
        <v>42</v>
      </c>
      <c r="C23" s="23">
        <v>56492.7984</v>
      </c>
      <c r="D23" s="23">
        <v>2.9999999999999997E-4</v>
      </c>
      <c r="E23" s="3">
        <f>+(C23-C$7)/C$8</f>
        <v>8096.5123829540253</v>
      </c>
      <c r="F23" s="3">
        <f>ROUND(2*E23,0)/2</f>
        <v>8096.5</v>
      </c>
      <c r="G23" s="3">
        <f>+C23-(C$7+F23*C$8)</f>
        <v>7.8949999951873906E-3</v>
      </c>
      <c r="J23" s="3">
        <f>+G23</f>
        <v>7.8949999951873906E-3</v>
      </c>
      <c r="O23" s="3">
        <f ca="1">+C$11+C$12*$F23</f>
        <v>9.2018331458322208E-3</v>
      </c>
      <c r="Q23" s="24">
        <f>+C23-15018.5</f>
        <v>41474.2984</v>
      </c>
      <c r="V23" s="25" t="s">
        <v>45</v>
      </c>
    </row>
    <row r="24" spans="1:22" s="3" customFormat="1" ht="12.95" customHeight="1" x14ac:dyDescent="0.2">
      <c r="A24" s="5" t="s">
        <v>41</v>
      </c>
      <c r="C24" s="23">
        <v>58615.917377937534</v>
      </c>
      <c r="D24" s="23">
        <v>5.0000000000000001E-4</v>
      </c>
      <c r="E24" s="3">
        <f>+(C24-C$7)/C$8</f>
        <v>11426.529444512027</v>
      </c>
      <c r="F24" s="3">
        <f>ROUND(2*E24,0)/2</f>
        <v>11426.5</v>
      </c>
      <c r="G24" s="3">
        <f>+C24-(C$7+F24*C$8)</f>
        <v>1.8772937532048672E-2</v>
      </c>
      <c r="J24" s="3">
        <f>+G24</f>
        <v>1.8772937532048672E-2</v>
      </c>
      <c r="O24" s="3">
        <f ca="1">+C$11+C$12*$F24</f>
        <v>1.8418556644841634E-2</v>
      </c>
      <c r="Q24" s="24">
        <f>+C24-15018.5</f>
        <v>43597.417377937534</v>
      </c>
      <c r="V24" s="25" t="s">
        <v>45</v>
      </c>
    </row>
    <row r="25" spans="1:22" s="3" customFormat="1" ht="12.95" customHeight="1" x14ac:dyDescent="0.2">
      <c r="C25" s="23"/>
      <c r="D25" s="23"/>
      <c r="Q25" s="24"/>
    </row>
    <row r="26" spans="1:22" s="3" customFormat="1" ht="12.95" customHeight="1" x14ac:dyDescent="0.2">
      <c r="C26" s="23"/>
      <c r="D26" s="23"/>
      <c r="Q26" s="24"/>
    </row>
    <row r="27" spans="1:22" s="3" customFormat="1" ht="12.95" customHeight="1" x14ac:dyDescent="0.2">
      <c r="C27" s="23"/>
      <c r="D27" s="23"/>
      <c r="Q27" s="24"/>
    </row>
    <row r="28" spans="1:22" s="3" customFormat="1" ht="12.95" customHeight="1" x14ac:dyDescent="0.2">
      <c r="C28" s="23"/>
      <c r="D28" s="23"/>
      <c r="Q28" s="24"/>
    </row>
    <row r="29" spans="1:22" s="3" customFormat="1" ht="12.95" customHeight="1" x14ac:dyDescent="0.2">
      <c r="C29" s="23"/>
      <c r="D29" s="23"/>
      <c r="Q29" s="24"/>
    </row>
    <row r="30" spans="1:22" s="3" customFormat="1" ht="12.95" customHeight="1" x14ac:dyDescent="0.2">
      <c r="C30" s="23"/>
      <c r="D30" s="23"/>
      <c r="Q30" s="24"/>
    </row>
    <row r="31" spans="1:22" s="3" customFormat="1" ht="12.95" customHeight="1" x14ac:dyDescent="0.2">
      <c r="C31" s="23"/>
      <c r="D31" s="23"/>
      <c r="Q31" s="24"/>
    </row>
    <row r="32" spans="1:22" s="3" customFormat="1" ht="12.95" customHeight="1" x14ac:dyDescent="0.2">
      <c r="C32" s="23"/>
      <c r="D32" s="23"/>
      <c r="Q32" s="24"/>
    </row>
    <row r="33" spans="3:17" s="3" customFormat="1" ht="12.95" customHeight="1" x14ac:dyDescent="0.2">
      <c r="C33" s="23"/>
      <c r="D33" s="23"/>
      <c r="Q33" s="24"/>
    </row>
    <row r="34" spans="3:17" s="3" customFormat="1" ht="12.95" customHeight="1" x14ac:dyDescent="0.2">
      <c r="C34" s="23"/>
      <c r="D34" s="23"/>
    </row>
    <row r="35" spans="3:17" s="3" customFormat="1" ht="12.95" customHeight="1" x14ac:dyDescent="0.2">
      <c r="C35" s="23"/>
      <c r="D35" s="23"/>
    </row>
    <row r="36" spans="3:17" s="3" customFormat="1" ht="12.95" customHeight="1" x14ac:dyDescent="0.2">
      <c r="C36" s="23"/>
      <c r="D36" s="23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5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2024-07-29T05:44:02Z</dcterms:modified>
</cp:coreProperties>
</file>