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4776DB-841E-466A-AF5D-67AEB053F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Q28" i="1"/>
  <c r="D9" i="1"/>
  <c r="C9" i="1"/>
  <c r="Q27" i="1"/>
  <c r="G14" i="2"/>
  <c r="C14" i="2"/>
  <c r="E14" i="2"/>
  <c r="C21" i="1"/>
  <c r="G15" i="2"/>
  <c r="C15" i="2"/>
  <c r="G13" i="2"/>
  <c r="C13" i="2"/>
  <c r="G12" i="2"/>
  <c r="C12" i="2"/>
  <c r="G11" i="2"/>
  <c r="C11" i="2"/>
  <c r="H14" i="2"/>
  <c r="B14" i="2"/>
  <c r="D14" i="2"/>
  <c r="A14" i="2"/>
  <c r="H15" i="2"/>
  <c r="B15" i="2"/>
  <c r="D15" i="2"/>
  <c r="A15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E26" i="1"/>
  <c r="F26" i="1"/>
  <c r="E25" i="1"/>
  <c r="F25" i="1"/>
  <c r="Q23" i="1"/>
  <c r="Q25" i="1"/>
  <c r="Q24" i="1"/>
  <c r="C17" i="1"/>
  <c r="Q22" i="1"/>
  <c r="C7" i="1"/>
  <c r="G26" i="1"/>
  <c r="K26" i="1"/>
  <c r="C8" i="1"/>
  <c r="E21" i="1"/>
  <c r="F21" i="1"/>
  <c r="G21" i="1"/>
  <c r="H21" i="1"/>
  <c r="Q21" i="1"/>
  <c r="E13" i="2"/>
  <c r="E24" i="1"/>
  <c r="F24" i="1"/>
  <c r="G24" i="1"/>
  <c r="J24" i="1"/>
  <c r="U25" i="1"/>
  <c r="E23" i="1"/>
  <c r="F23" i="1"/>
  <c r="G23" i="1"/>
  <c r="K23" i="1"/>
  <c r="E28" i="1"/>
  <c r="F28" i="1"/>
  <c r="G28" i="1"/>
  <c r="K28" i="1"/>
  <c r="G22" i="1"/>
  <c r="E27" i="1"/>
  <c r="F27" i="1"/>
  <c r="G27" i="1"/>
  <c r="K27" i="1"/>
  <c r="E22" i="1"/>
  <c r="F22" i="1"/>
  <c r="K22" i="1"/>
  <c r="E12" i="2"/>
  <c r="E11" i="2"/>
  <c r="E15" i="2"/>
  <c r="C11" i="1"/>
  <c r="C12" i="1"/>
  <c r="C16" i="1" l="1"/>
  <c r="D18" i="1" s="1"/>
  <c r="O23" i="1"/>
  <c r="O24" i="1"/>
  <c r="O26" i="1"/>
  <c r="O21" i="1"/>
  <c r="O27" i="1"/>
  <c r="O25" i="1"/>
  <c r="O28" i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<sst xmlns="http://schemas.openxmlformats.org/spreadsheetml/2006/main" count="117" uniqueCount="93">
  <si>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</si>
  <si>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</si>
  <si>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</si>
  <si>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</si>
  <si>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</si>
  <si>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</si>
  <si>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</si>
  <si>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</si>
  <si>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</si>
  <si>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</si>
  <si>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</si>
  <si>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</si>
  <si>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</si>
  <si>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</si>
  <si>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</si>
  <si>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</si>
  <si>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</si>
  <si>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</si>
  <si>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</si>
  <si>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</si>
  <si>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</si>
  <si>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</si>
  <si>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</si>
  <si>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</si>
  <si>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</si>
  <si>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</si>
  <si>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</si>
  <si>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</si>
  <si>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</si>
  <si>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5263</t>
  </si>
  <si>
    <t>I</t>
  </si>
  <si>
    <t># of data points:</t>
  </si>
  <si>
    <t>19 49 23.76 +20 39 14.3</t>
  </si>
  <si>
    <t>GV Vul / na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</si>
  <si>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</si>
  <si>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</si>
  <si>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</si>
  <si>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</si>
  <si>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</si>
  <si>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5713</t>
  </si>
  <si>
    <t>OEJV 0074</t>
  </si>
  <si>
    <t>II</t>
  </si>
  <si>
    <t>IBVS 5945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</si>
  <si>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</si>
  <si>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</si>
  <si>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</si>
  <si>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</si>
  <si>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</si>
  <si>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</si>
  <si>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</si>
  <si>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</si>
  <si>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</si>
  <si>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</si>
  <si>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</si>
  <si>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2451435.4750 </t>
  </si>
  <si>
    <t> 13.09.1999 23:24 </t>
  </si>
  <si>
    <t> 0.0612 </t>
  </si>
  <si>
    <t>E </t>
  </si>
  <si>
    <t>?</t>
  </si>
  <si>
    <t> M.Zejda </t>
  </si>
  <si>
    <t>IBVS 5263 </t>
  </si>
  <si>
    <t>2451707.44571 </t>
  </si>
  <si>
    <t> 11.06.2000 22:41 </t>
  </si>
  <si>
    <t> 0.06015 </t>
  </si>
  <si>
    <t>C </t>
  </si>
  <si>
    <t>o</t>
  </si>
  <si>
    <t> J.Šafár </t>
  </si>
  <si>
    <t>OEJV 0074 </t>
  </si>
  <si>
    <t>2453900.4737 </t>
  </si>
  <si>
    <t> 13.06.2006 23:22 </t>
  </si>
  <si>
    <t> 0.0621 </t>
  </si>
  <si>
    <t> R. Diethelm </t>
  </si>
  <si>
    <t>IBVS 5713 </t>
  </si>
  <si>
    <t>2454996.4857 </t>
  </si>
  <si>
    <t> 13.06.2009 23:39 </t>
  </si>
  <si>
    <t> 0.0685 </t>
  </si>
  <si>
    <t> Moschner &amp; Frank </t>
  </si>
  <si>
    <t>BAVM 212 </t>
  </si>
  <si>
    <t>2455358.7784 </t>
  </si>
  <si>
    <t> 11.06.2010 06:40 </t>
  </si>
  <si>
    <t> 0.0705 </t>
  </si>
  <si>
    <t> R.Diethelm </t>
  </si>
  <si>
    <t>IBVS 5945 </t>
  </si>
  <si>
    <t>BAD?</t>
  </si>
  <si>
    <t>OEJV 0179</t>
  </si>
  <si>
    <t>Add cycle</t>
  </si>
  <si>
    <t>Old Cycle</t>
  </si>
  <si>
    <t>OEJV 0094</t>
  </si>
  <si>
    <t>VSX</t>
  </si>
  <si>
    <t>14.1-14.8</t>
  </si>
  <si>
    <t>Next ToM-P</t>
  </si>
  <si>
    <t>Next ToM-S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</si>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</sst>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8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5" borderId="18" xfId="0" applyFont="1" applyFill="1" applyBorder="1" applyAlignment="1">
      <alignment horizontal="right" vertical="center"/>
    </xf>
    <xf numFmtId="0" fontId="8" fillId="25" borderId="19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22" fontId="9" fillId="0" borderId="21" xfId="0" applyNumberFormat="1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Vul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3-4F02-87A7-A8FFA811E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3-4F02-87A7-A8FFA811E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6.212000000232365E-2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93-4F02-87A7-A8FFA811E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6.1199999996460974E-2</c:v>
                </c:pt>
                <c:pt idx="2">
                  <c:v>6.0149999997520354E-2</c:v>
                </c:pt>
                <c:pt idx="5">
                  <c:v>7.0480000002135057E-2</c:v>
                </c:pt>
                <c:pt idx="6">
                  <c:v>6.8519999993441161E-2</c:v>
                </c:pt>
                <c:pt idx="7">
                  <c:v>7.4879999992845114E-2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93-4F02-87A7-A8FFA811E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93-4F02-87A7-A8FFA811E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93-4F02-87A7-A8FFA811E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2.3E-3</c:v>
                  </c:pt>
                  <c:pt idx="3">
                    <c:v>1E-3</c:v>
                  </c:pt>
                  <c:pt idx="4">
                    <c:v>1.4E-3</c:v>
                  </c:pt>
                  <c:pt idx="5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93-4F02-87A7-A8FFA811E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2.2791167474260077E-3</c:v>
                </c:pt>
                <c:pt idx="1">
                  <c:v>5.9643380777620728E-2</c:v>
                </c:pt>
                <c:pt idx="2">
                  <c:v>6.0296465856639093E-2</c:v>
                </c:pt>
                <c:pt idx="3">
                  <c:v>6.5562573527380416E-2</c:v>
                </c:pt>
                <c:pt idx="4">
                  <c:v>6.7000335455070087E-2</c:v>
                </c:pt>
                <c:pt idx="5">
                  <c:v>6.9064376730922888E-2</c:v>
                </c:pt>
                <c:pt idx="6">
                  <c:v>6.8194408920439473E-2</c:v>
                </c:pt>
                <c:pt idx="7">
                  <c:v>7.4588794171723719E-2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93-4F02-87A7-A8FFA811E9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23540</c:v>
                </c:pt>
                <c:pt idx="2">
                  <c:v>23808</c:v>
                </c:pt>
                <c:pt idx="3">
                  <c:v>25969</c:v>
                </c:pt>
                <c:pt idx="4">
                  <c:v>26559</c:v>
                </c:pt>
                <c:pt idx="5">
                  <c:v>27406</c:v>
                </c:pt>
                <c:pt idx="6">
                  <c:v>27049</c:v>
                </c:pt>
                <c:pt idx="7">
                  <c:v>29673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">
                  <c:v>0.24249000000418164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93-4F02-87A7-A8FFA811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091776"/>
        <c:axId val="1"/>
      </c:scatterChart>
      <c:valAx>
        <c:axId val="64709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9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C47DDB-1DAB-3832-383E-AFBB49BB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71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5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S10" sqref="S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1" customFormat="1" ht="20.25">
      <c r="A1" s="51" t="s">
        <v>33</v>
      </c>
      <c r="C1" s="52" t="s">
        <v>32</v>
      </c>
    </row>
    <row r="2" spans="1:6" s="21" customFormat="1" ht="12.95" customHeight="1">
      <c r="A2" s="21" t="s">
        <v>24</v>
      </c>
      <c r="B2" s="21" t="s">
        <v>28</v>
      </c>
    </row>
    <row r="3" spans="1:6" s="21" customFormat="1" ht="12.95" customHeight="1" thickBot="1"/>
    <row r="4" spans="1:6" s="21" customFormat="1" ht="12.95" customHeight="1" thickTop="1" thickBot="1">
      <c r="A4" s="22" t="s">
        <v>0</v>
      </c>
      <c r="C4" s="23">
        <v>27546.550999999999</v>
      </c>
      <c r="D4" s="24">
        <v>1.0148200000000001</v>
      </c>
    </row>
    <row r="5" spans="1:6" s="21" customFormat="1" ht="12.95" customHeight="1" thickTop="1">
      <c r="A5" s="25" t="s">
        <v>34</v>
      </c>
      <c r="C5" s="26">
        <v>-9.5</v>
      </c>
      <c r="D5" s="21" t="s">
        <v>35</v>
      </c>
    </row>
    <row r="6" spans="1:6" s="21" customFormat="1" ht="12.95" customHeight="1">
      <c r="A6" s="22" t="s">
        <v>1</v>
      </c>
    </row>
    <row r="7" spans="1:6" s="21" customFormat="1" ht="12.95" customHeight="1">
      <c r="A7" s="21" t="s">
        <v>2</v>
      </c>
      <c r="C7" s="21">
        <f>+C4</f>
        <v>27546.550999999999</v>
      </c>
      <c r="D7" s="53" t="s">
        <v>88</v>
      </c>
    </row>
    <row r="8" spans="1:6" s="21" customFormat="1" ht="12.95" customHeight="1">
      <c r="A8" s="21" t="s">
        <v>3</v>
      </c>
      <c r="C8" s="21">
        <f>+D4</f>
        <v>1.0148200000000001</v>
      </c>
      <c r="D8" s="53" t="s">
        <v>88</v>
      </c>
    </row>
    <row r="9" spans="1:6" s="21" customFormat="1" ht="12.95" customHeight="1">
      <c r="A9" s="27" t="s">
        <v>38</v>
      </c>
      <c r="B9" s="28">
        <v>22</v>
      </c>
      <c r="C9" s="29" t="str">
        <f>"F"&amp;B9</f>
        <v>F22</v>
      </c>
      <c r="D9" s="30" t="str">
        <f>"G"&amp;B9</f>
        <v>G22</v>
      </c>
    </row>
    <row r="10" spans="1:6" s="21" customFormat="1" ht="12.95" customHeight="1" thickBot="1">
      <c r="C10" s="31" t="s">
        <v>20</v>
      </c>
      <c r="D10" s="31" t="s">
        <v>21</v>
      </c>
    </row>
    <row r="11" spans="1:6" s="21" customFormat="1" ht="12.95" customHeight="1">
      <c r="A11" s="21" t="s">
        <v>16</v>
      </c>
      <c r="C11" s="30">
        <f ca="1">INTERCEPT(INDIRECT($D$9):G992,INDIRECT($C$9):F992)</f>
        <v>2.2791167474260077E-3</v>
      </c>
      <c r="D11" s="32"/>
    </row>
    <row r="12" spans="1:6" s="21" customFormat="1" ht="12.95" customHeight="1">
      <c r="A12" s="21" t="s">
        <v>17</v>
      </c>
      <c r="C12" s="30">
        <f ca="1">SLOPE(INDIRECT($D$9):G992,INDIRECT($C$9):F992)</f>
        <v>2.4368846232028345E-6</v>
      </c>
      <c r="D12" s="32"/>
      <c r="E12" s="54" t="s">
        <v>92</v>
      </c>
      <c r="F12" s="55" t="s">
        <v>89</v>
      </c>
    </row>
    <row r="13" spans="1:6" s="21" customFormat="1" ht="12.95" customHeight="1">
      <c r="A13" s="21" t="s">
        <v>19</v>
      </c>
      <c r="C13" s="32" t="s">
        <v>14</v>
      </c>
      <c r="E13" s="56" t="s">
        <v>85</v>
      </c>
      <c r="F13" s="57">
        <v>1</v>
      </c>
    </row>
    <row r="14" spans="1:6" s="21" customFormat="1" ht="12.95" customHeight="1">
      <c r="E14" s="56" t="s">
        <v>36</v>
      </c>
      <c r="F14" s="58">
        <f ca="1">NOW()+15018.5+$C$5/24</f>
        <v>60520.727893749994</v>
      </c>
    </row>
    <row r="15" spans="1:6" s="21" customFormat="1" ht="12.95" customHeight="1">
      <c r="A15" s="33" t="s">
        <v>18</v>
      </c>
      <c r="C15" s="34">
        <f ca="1">(C7+C11)+(C8+C12)*INT(MAX(F21:F3533))</f>
        <v>57659.37944879417</v>
      </c>
      <c r="E15" s="56" t="s">
        <v>86</v>
      </c>
      <c r="F15" s="58">
        <f ca="1">ROUND(2*(F14-$C$7)/$C$8,0)/2+F13</f>
        <v>32493.5</v>
      </c>
    </row>
    <row r="16" spans="1:6" s="21" customFormat="1" ht="12.95" customHeight="1">
      <c r="A16" s="22" t="s">
        <v>4</v>
      </c>
      <c r="C16" s="36">
        <f ca="1">+C8+C12</f>
        <v>1.0148224368846233</v>
      </c>
      <c r="E16" s="56" t="s">
        <v>37</v>
      </c>
      <c r="F16" s="59">
        <f ca="1">ROUND(2*(F14-$C$15)/$C$16,0)/2+F13</f>
        <v>2820.5</v>
      </c>
    </row>
    <row r="17" spans="1:21" s="21" customFormat="1" ht="12.95" customHeight="1" thickBot="1">
      <c r="A17" s="35" t="s">
        <v>31</v>
      </c>
      <c r="C17" s="21">
        <f>COUNT(C21:C2191)</f>
        <v>8</v>
      </c>
      <c r="E17" s="56" t="s">
        <v>90</v>
      </c>
      <c r="F17" s="60">
        <f ca="1">+($C$15+$C$16*$F$16)-15018.5-$C$5/24</f>
        <v>45503.581965360587</v>
      </c>
    </row>
    <row r="18" spans="1:21" s="21" customFormat="1" ht="12.95" customHeight="1" thickTop="1" thickBot="1">
      <c r="A18" s="22" t="s">
        <v>5</v>
      </c>
      <c r="C18" s="23">
        <f ca="1">+C15</f>
        <v>57659.37944879417</v>
      </c>
      <c r="D18" s="24">
        <f ca="1">+C16</f>
        <v>1.0148224368846233</v>
      </c>
      <c r="E18" s="62" t="s">
        <v>91</v>
      </c>
      <c r="F18" s="61">
        <f ca="1">+($C$15+$C$16*$F$16)-($C$16/2)-15018.5-$C$5/24</f>
        <v>45503.074554142142</v>
      </c>
    </row>
    <row r="19" spans="1:21" s="21" customFormat="1" ht="12.95" customHeight="1" thickTop="1"/>
    <row r="20" spans="1:21" s="21" customFormat="1" ht="12.95" customHeight="1" thickBot="1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7" t="s">
        <v>50</v>
      </c>
      <c r="I20" s="37" t="s">
        <v>53</v>
      </c>
      <c r="J20" s="37" t="s">
        <v>47</v>
      </c>
      <c r="K20" s="37" t="s">
        <v>45</v>
      </c>
      <c r="L20" s="37" t="s">
        <v>25</v>
      </c>
      <c r="M20" s="37" t="s">
        <v>26</v>
      </c>
      <c r="N20" s="37" t="s">
        <v>27</v>
      </c>
      <c r="O20" s="37" t="s">
        <v>23</v>
      </c>
      <c r="P20" s="38" t="s">
        <v>22</v>
      </c>
      <c r="Q20" s="31" t="s">
        <v>15</v>
      </c>
      <c r="U20" s="39" t="s">
        <v>83</v>
      </c>
    </row>
    <row r="21" spans="1:21" s="21" customFormat="1" ht="12.95" customHeight="1">
      <c r="A21" s="21" t="s">
        <v>12</v>
      </c>
      <c r="C21" s="40">
        <f>+C4</f>
        <v>27546.550999999999</v>
      </c>
      <c r="D21" s="40" t="s">
        <v>14</v>
      </c>
      <c r="E21" s="21">
        <f t="shared" ref="E21:E26" si="0">+(C21-C$7)/C$8</f>
        <v>0</v>
      </c>
      <c r="F21" s="21">
        <f t="shared" ref="F21:F28" si="1">ROUND(2*E21,0)/2</f>
        <v>0</v>
      </c>
      <c r="G21" s="21">
        <f t="shared" ref="G21:G26" si="2">+C21-(C$7+F21*C$8)</f>
        <v>0</v>
      </c>
      <c r="H21" s="21">
        <f>+G21</f>
        <v>0</v>
      </c>
      <c r="O21" s="21">
        <f t="shared" ref="O21:O26" ca="1" si="3">+C$11+C$12*$F21</f>
        <v>2.2791167474260077E-3</v>
      </c>
      <c r="Q21" s="41">
        <f t="shared" ref="Q21:Q26" si="4">+C21-15018.5</f>
        <v>12528.050999999999</v>
      </c>
    </row>
    <row r="22" spans="1:21" s="21" customFormat="1" ht="12.95" customHeight="1">
      <c r="A22" s="2" t="s">
        <v>29</v>
      </c>
      <c r="B22" s="3" t="s">
        <v>30</v>
      </c>
      <c r="C22" s="42">
        <v>51435.474999999999</v>
      </c>
      <c r="D22" s="42">
        <v>1.8E-3</v>
      </c>
      <c r="E22" s="21">
        <f t="shared" si="0"/>
        <v>23540.060306261206</v>
      </c>
      <c r="F22" s="21">
        <f t="shared" si="1"/>
        <v>23540</v>
      </c>
      <c r="G22" s="21">
        <f t="shared" si="2"/>
        <v>6.1199999996460974E-2</v>
      </c>
      <c r="K22" s="21">
        <f>+G22</f>
        <v>6.1199999996460974E-2</v>
      </c>
      <c r="O22" s="21">
        <f t="shared" ca="1" si="3"/>
        <v>5.9643380777620728E-2</v>
      </c>
      <c r="Q22" s="41">
        <f t="shared" si="4"/>
        <v>36416.974999999999</v>
      </c>
    </row>
    <row r="23" spans="1:21" s="21" customFormat="1" ht="12.95" customHeight="1">
      <c r="A23" s="43" t="s">
        <v>40</v>
      </c>
      <c r="B23" s="20" t="s">
        <v>30</v>
      </c>
      <c r="C23" s="2">
        <v>51707.44571</v>
      </c>
      <c r="D23" s="2">
        <v>2.3E-3</v>
      </c>
      <c r="E23" s="21">
        <f t="shared" si="0"/>
        <v>23808.059271594961</v>
      </c>
      <c r="F23" s="21">
        <f t="shared" si="1"/>
        <v>23808</v>
      </c>
      <c r="G23" s="21">
        <f t="shared" si="2"/>
        <v>6.0149999997520354E-2</v>
      </c>
      <c r="K23" s="21">
        <f>+G23</f>
        <v>6.0149999997520354E-2</v>
      </c>
      <c r="O23" s="21">
        <f t="shared" ca="1" si="3"/>
        <v>6.0296465856639093E-2</v>
      </c>
      <c r="Q23" s="41">
        <f t="shared" si="4"/>
        <v>36688.94571</v>
      </c>
    </row>
    <row r="24" spans="1:21" s="21" customFormat="1" ht="12.95" customHeight="1">
      <c r="A24" s="2" t="s">
        <v>39</v>
      </c>
      <c r="B24" s="34" t="s">
        <v>30</v>
      </c>
      <c r="C24" s="44">
        <v>53900.473700000002</v>
      </c>
      <c r="D24" s="29">
        <v>1E-3</v>
      </c>
      <c r="E24" s="21">
        <f t="shared" si="0"/>
        <v>25969.06121282592</v>
      </c>
      <c r="F24" s="21">
        <f t="shared" si="1"/>
        <v>25969</v>
      </c>
      <c r="G24" s="21">
        <f t="shared" si="2"/>
        <v>6.212000000232365E-2</v>
      </c>
      <c r="J24" s="21">
        <f>+G24</f>
        <v>6.212000000232365E-2</v>
      </c>
      <c r="O24" s="21">
        <f t="shared" ca="1" si="3"/>
        <v>6.5562573527380416E-2</v>
      </c>
      <c r="Q24" s="41">
        <f t="shared" si="4"/>
        <v>38881.973700000002</v>
      </c>
    </row>
    <row r="25" spans="1:21" s="21" customFormat="1" ht="12.95" customHeight="1">
      <c r="A25" s="43" t="s">
        <v>87</v>
      </c>
      <c r="B25" s="20" t="s">
        <v>41</v>
      </c>
      <c r="C25" s="2">
        <v>54499.397870000001</v>
      </c>
      <c r="D25" s="2">
        <v>1.4E-3</v>
      </c>
      <c r="E25" s="21">
        <f t="shared" si="0"/>
        <v>26559.238948779093</v>
      </c>
      <c r="F25" s="21">
        <f t="shared" si="1"/>
        <v>26559</v>
      </c>
      <c r="O25" s="21">
        <f t="shared" ca="1" si="3"/>
        <v>6.7000335455070087E-2</v>
      </c>
      <c r="Q25" s="41">
        <f t="shared" si="4"/>
        <v>39480.897870000001</v>
      </c>
      <c r="U25" s="21">
        <f>+C25-(C$7+F25*C$8)</f>
        <v>0.24249000000418164</v>
      </c>
    </row>
    <row r="26" spans="1:21" s="21" customFormat="1" ht="12.95" customHeight="1">
      <c r="A26" s="2" t="s">
        <v>42</v>
      </c>
      <c r="B26" s="20" t="s">
        <v>30</v>
      </c>
      <c r="C26" s="2">
        <v>55358.778400000003</v>
      </c>
      <c r="D26" s="2">
        <v>4.0000000000000002E-4</v>
      </c>
      <c r="E26" s="21">
        <f t="shared" si="0"/>
        <v>27406.069450740033</v>
      </c>
      <c r="F26" s="21">
        <f t="shared" si="1"/>
        <v>27406</v>
      </c>
      <c r="G26" s="21">
        <f t="shared" si="2"/>
        <v>7.0480000002135057E-2</v>
      </c>
      <c r="K26" s="21">
        <f>+G26</f>
        <v>7.0480000002135057E-2</v>
      </c>
      <c r="O26" s="21">
        <f t="shared" ca="1" si="3"/>
        <v>6.9064376730922888E-2</v>
      </c>
      <c r="Q26" s="41">
        <f t="shared" si="4"/>
        <v>40340.278400000003</v>
      </c>
    </row>
    <row r="27" spans="1:21" s="21" customFormat="1" ht="12.95" customHeight="1">
      <c r="A27" s="45" t="s">
        <v>77</v>
      </c>
      <c r="B27" s="46" t="s">
        <v>30</v>
      </c>
      <c r="C27" s="47">
        <v>54996.485699999997</v>
      </c>
      <c r="D27" s="40"/>
      <c r="E27" s="21">
        <f>+(C27-C$7)/C$8</f>
        <v>27049.067519363038</v>
      </c>
      <c r="F27" s="21">
        <f t="shared" si="1"/>
        <v>27049</v>
      </c>
      <c r="G27" s="21">
        <f>+C27-(C$7+F27*C$8)</f>
        <v>6.8519999993441161E-2</v>
      </c>
      <c r="K27" s="21">
        <f>+G27</f>
        <v>6.8519999993441161E-2</v>
      </c>
      <c r="O27" s="21">
        <f ca="1">+C$11+C$12*$F27</f>
        <v>6.8194408920439473E-2</v>
      </c>
      <c r="Q27" s="41">
        <f>+C27-15018.5</f>
        <v>39977.985699999997</v>
      </c>
    </row>
    <row r="28" spans="1:21" s="21" customFormat="1" ht="12.95" customHeight="1">
      <c r="A28" s="48" t="s">
        <v>84</v>
      </c>
      <c r="B28" s="49" t="s">
        <v>30</v>
      </c>
      <c r="C28" s="50">
        <v>57659.379739999997</v>
      </c>
      <c r="D28" s="50">
        <v>2.9999999999999997E-4</v>
      </c>
      <c r="E28" s="21">
        <f>+(C28-C$7)/C$8</f>
        <v>29673.073786484299</v>
      </c>
      <c r="F28" s="21">
        <f t="shared" si="1"/>
        <v>29673</v>
      </c>
      <c r="G28" s="21">
        <f>+C28-(C$7+F28*C$8)</f>
        <v>7.4879999992845114E-2</v>
      </c>
      <c r="K28" s="21">
        <f>+G28</f>
        <v>7.4879999992845114E-2</v>
      </c>
      <c r="O28" s="21">
        <f ca="1">+C$11+C$12*$F28</f>
        <v>7.4588794171723719E-2</v>
      </c>
      <c r="Q28" s="41">
        <f>+C28-15018.5</f>
        <v>42640.879739999997</v>
      </c>
    </row>
    <row r="29" spans="1:21" s="21" customFormat="1" ht="12.95" customHeight="1">
      <c r="C29" s="40"/>
      <c r="D29" s="40"/>
      <c r="Q29" s="41"/>
    </row>
    <row r="30" spans="1:21" s="21" customFormat="1" ht="12.95" customHeight="1">
      <c r="C30" s="40"/>
      <c r="D30" s="40"/>
      <c r="Q30" s="41"/>
    </row>
    <row r="31" spans="1:21">
      <c r="C31" s="4"/>
      <c r="D31" s="4"/>
      <c r="Q31" s="1"/>
    </row>
    <row r="32" spans="1:21">
      <c r="C32" s="4"/>
      <c r="D32" s="4"/>
      <c r="Q32" s="1"/>
    </row>
    <row r="33" spans="3:17">
      <c r="C33" s="4"/>
      <c r="D33" s="4"/>
      <c r="Q33" s="1"/>
    </row>
    <row r="34" spans="3:17">
      <c r="C34" s="4"/>
      <c r="D34" s="4"/>
    </row>
    <row r="35" spans="3:17">
      <c r="C35" s="4"/>
      <c r="D35" s="4"/>
    </row>
    <row r="36" spans="3:17">
      <c r="C36" s="4"/>
      <c r="D36" s="4"/>
    </row>
    <row r="37" spans="3:17">
      <c r="C37" s="4"/>
      <c r="D37" s="4"/>
    </row>
    <row r="38" spans="3:17">
      <c r="C38" s="4"/>
      <c r="D38" s="4"/>
    </row>
    <row r="39" spans="3:17">
      <c r="C39" s="4"/>
      <c r="D39" s="4"/>
    </row>
    <row r="40" spans="3:17">
      <c r="C40" s="4"/>
      <c r="D40" s="4"/>
    </row>
    <row r="41" spans="3:17">
      <c r="C41" s="4"/>
      <c r="D41" s="4"/>
    </row>
    <row r="42" spans="3:17">
      <c r="C42" s="4"/>
      <c r="D42" s="4"/>
    </row>
    <row r="43" spans="3:17">
      <c r="C43" s="4"/>
      <c r="D43" s="4"/>
    </row>
    <row r="44" spans="3:17">
      <c r="C44" s="4"/>
      <c r="D44" s="4"/>
    </row>
    <row r="45" spans="3:17">
      <c r="C45" s="4"/>
      <c r="D45" s="4"/>
    </row>
    <row r="46" spans="3:17">
      <c r="C46" s="4"/>
      <c r="D46" s="4"/>
    </row>
    <row r="47" spans="3:17">
      <c r="C47" s="4"/>
      <c r="D47" s="4"/>
    </row>
    <row r="48" spans="3:17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workbookViewId="0">
      <selection activeCell="A15" sqref="A15:C15"/>
    </sheetView>
  </sheetViews>
  <sheetFormatPr defaultRowHeight="12.75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7" t="s">
        <v>43</v>
      </c>
      <c r="I1" s="8" t="s">
        <v>44</v>
      </c>
      <c r="J1" s="9" t="s">
        <v>45</v>
      </c>
    </row>
    <row r="2" spans="1:16">
      <c r="I2" s="10" t="s">
        <v>46</v>
      </c>
      <c r="J2" s="11" t="s">
        <v>47</v>
      </c>
    </row>
    <row r="3" spans="1:16">
      <c r="A3" s="12" t="s">
        <v>48</v>
      </c>
      <c r="I3" s="10" t="s">
        <v>49</v>
      </c>
      <c r="J3" s="11" t="s">
        <v>50</v>
      </c>
    </row>
    <row r="4" spans="1:16">
      <c r="I4" s="10" t="s">
        <v>51</v>
      </c>
      <c r="J4" s="11" t="s">
        <v>50</v>
      </c>
    </row>
    <row r="5" spans="1:16" ht="13.5" thickBot="1">
      <c r="I5" s="13" t="s">
        <v>52</v>
      </c>
      <c r="J5" s="14" t="s">
        <v>53</v>
      </c>
    </row>
    <row r="10" spans="1:16" ht="13.5" thickBot="1"/>
    <row r="11" spans="1:16" ht="12.75" customHeight="1" thickBot="1">
      <c r="A11" s="4" t="str">
        <f>P11</f>
        <v>IBVS 5263 </v>
      </c>
      <c r="B11" s="6" t="str">
        <f>IF(H11=INT(H11),"I","II")</f>
        <v>I</v>
      </c>
      <c r="C11" s="4">
        <f>1*G11</f>
        <v>51435.474999999999</v>
      </c>
      <c r="D11" s="5" t="str">
        <f>VLOOKUP(F11,I$1:J$5,2,FALSE)</f>
        <v>vis</v>
      </c>
      <c r="E11" s="15">
        <f>VLOOKUP(C11,Active!C$21:E$973,3,FALSE)</f>
        <v>23540.060306261206</v>
      </c>
      <c r="F11" s="6" t="s">
        <v>52</v>
      </c>
      <c r="G11" s="5" t="str">
        <f>MID(I11,3,LEN(I11)-3)</f>
        <v>51435.4750</v>
      </c>
      <c r="H11" s="4">
        <f>1*K11</f>
        <v>23540</v>
      </c>
      <c r="I11" s="16" t="s">
        <v>54</v>
      </c>
      <c r="J11" s="17" t="s">
        <v>55</v>
      </c>
      <c r="K11" s="16">
        <v>23540</v>
      </c>
      <c r="L11" s="16" t="s">
        <v>56</v>
      </c>
      <c r="M11" s="17" t="s">
        <v>57</v>
      </c>
      <c r="N11" s="17" t="s">
        <v>58</v>
      </c>
      <c r="O11" s="18" t="s">
        <v>59</v>
      </c>
      <c r="P11" s="19" t="s">
        <v>60</v>
      </c>
    </row>
    <row r="12" spans="1:16" ht="12.75" customHeight="1" thickBot="1">
      <c r="A12" s="4" t="str">
        <f>P12</f>
        <v>OEJV 0074 </v>
      </c>
      <c r="B12" s="6" t="str">
        <f>IF(H12=INT(H12),"I","II")</f>
        <v>I</v>
      </c>
      <c r="C12" s="4">
        <f>1*G12</f>
        <v>51707.44571</v>
      </c>
      <c r="D12" s="5" t="str">
        <f>VLOOKUP(F12,I$1:J$5,2,FALSE)</f>
        <v>vis</v>
      </c>
      <c r="E12" s="15">
        <f>VLOOKUP(C12,Active!C$21:E$973,3,FALSE)</f>
        <v>23808.059271594961</v>
      </c>
      <c r="F12" s="6" t="s">
        <v>52</v>
      </c>
      <c r="G12" s="5" t="str">
        <f>MID(I12,3,LEN(I12)-3)</f>
        <v>51707.44571</v>
      </c>
      <c r="H12" s="4">
        <f>1*K12</f>
        <v>23808</v>
      </c>
      <c r="I12" s="16" t="s">
        <v>61</v>
      </c>
      <c r="J12" s="17" t="s">
        <v>62</v>
      </c>
      <c r="K12" s="16">
        <v>23808</v>
      </c>
      <c r="L12" s="16" t="s">
        <v>63</v>
      </c>
      <c r="M12" s="17" t="s">
        <v>64</v>
      </c>
      <c r="N12" s="17" t="s">
        <v>65</v>
      </c>
      <c r="O12" s="18" t="s">
        <v>66</v>
      </c>
      <c r="P12" s="19" t="s">
        <v>67</v>
      </c>
    </row>
    <row r="13" spans="1:16" ht="12.75" customHeight="1" thickBot="1">
      <c r="A13" s="4" t="str">
        <f>P13</f>
        <v>IBVS 5713 </v>
      </c>
      <c r="B13" s="6" t="str">
        <f>IF(H13=INT(H13),"I","II")</f>
        <v>I</v>
      </c>
      <c r="C13" s="4">
        <f>1*G13</f>
        <v>53900.473700000002</v>
      </c>
      <c r="D13" s="5" t="str">
        <f>VLOOKUP(F13,I$1:J$5,2,FALSE)</f>
        <v>vis</v>
      </c>
      <c r="E13" s="15">
        <f>VLOOKUP(C13,Active!C$21:E$973,3,FALSE)</f>
        <v>25969.06121282592</v>
      </c>
      <c r="F13" s="6" t="s">
        <v>52</v>
      </c>
      <c r="G13" s="5" t="str">
        <f>MID(I13,3,LEN(I13)-3)</f>
        <v>53900.4737</v>
      </c>
      <c r="H13" s="4">
        <f>1*K13</f>
        <v>25969</v>
      </c>
      <c r="I13" s="16" t="s">
        <v>68</v>
      </c>
      <c r="J13" s="17" t="s">
        <v>69</v>
      </c>
      <c r="K13" s="16">
        <v>25969</v>
      </c>
      <c r="L13" s="16" t="s">
        <v>70</v>
      </c>
      <c r="M13" s="17" t="s">
        <v>57</v>
      </c>
      <c r="N13" s="17" t="s">
        <v>58</v>
      </c>
      <c r="O13" s="18" t="s">
        <v>71</v>
      </c>
      <c r="P13" s="19" t="s">
        <v>72</v>
      </c>
    </row>
    <row r="14" spans="1:16" ht="12.75" customHeight="1" thickBot="1">
      <c r="A14" s="4" t="str">
        <f>P14</f>
        <v>IBVS 5945 </v>
      </c>
      <c r="B14" s="6" t="str">
        <f>IF(H14=INT(H14),"I","II")</f>
        <v>I</v>
      </c>
      <c r="C14" s="4">
        <f>1*G14</f>
        <v>55358.778400000003</v>
      </c>
      <c r="D14" s="5" t="str">
        <f>VLOOKUP(F14,I$1:J$5,2,FALSE)</f>
        <v>vis</v>
      </c>
      <c r="E14" s="15">
        <f>VLOOKUP(C14,Active!C$21:E$973,3,FALSE)</f>
        <v>27406.069450740033</v>
      </c>
      <c r="F14" s="6" t="s">
        <v>52</v>
      </c>
      <c r="G14" s="5" t="str">
        <f>MID(I14,3,LEN(I14)-3)</f>
        <v>55358.7784</v>
      </c>
      <c r="H14" s="4">
        <f>1*K14</f>
        <v>27406</v>
      </c>
      <c r="I14" s="16" t="s">
        <v>78</v>
      </c>
      <c r="J14" s="17" t="s">
        <v>79</v>
      </c>
      <c r="K14" s="16">
        <v>27406</v>
      </c>
      <c r="L14" s="16" t="s">
        <v>80</v>
      </c>
      <c r="M14" s="17" t="s">
        <v>64</v>
      </c>
      <c r="N14" s="17" t="s">
        <v>52</v>
      </c>
      <c r="O14" s="18" t="s">
        <v>81</v>
      </c>
      <c r="P14" s="19" t="s">
        <v>82</v>
      </c>
    </row>
    <row r="15" spans="1:16" ht="12.75" customHeight="1" thickBot="1">
      <c r="A15" s="4" t="str">
        <f>P15</f>
        <v>BAVM 212 </v>
      </c>
      <c r="B15" s="6" t="str">
        <f>IF(H15=INT(H15),"I","II")</f>
        <v>I</v>
      </c>
      <c r="C15" s="4">
        <f>1*G15</f>
        <v>54996.485699999997</v>
      </c>
      <c r="D15" s="5" t="str">
        <f>VLOOKUP(F15,I$1:J$5,2,FALSE)</f>
        <v>vis</v>
      </c>
      <c r="E15" s="15">
        <f>VLOOKUP(C15,Active!C$21:E$973,3,FALSE)</f>
        <v>27049.067519363038</v>
      </c>
      <c r="F15" s="6" t="s">
        <v>52</v>
      </c>
      <c r="G15" s="5" t="str">
        <f>MID(I15,3,LEN(I15)-3)</f>
        <v>54996.4857</v>
      </c>
      <c r="H15" s="4">
        <f>1*K15</f>
        <v>27049</v>
      </c>
      <c r="I15" s="16" t="s">
        <v>73</v>
      </c>
      <c r="J15" s="17" t="s">
        <v>74</v>
      </c>
      <c r="K15" s="16">
        <v>27049</v>
      </c>
      <c r="L15" s="16" t="s">
        <v>75</v>
      </c>
      <c r="M15" s="17" t="s">
        <v>64</v>
      </c>
      <c r="N15" s="17" t="s">
        <v>65</v>
      </c>
      <c r="O15" s="18" t="s">
        <v>76</v>
      </c>
      <c r="P15" s="19" t="s">
        <v>77</v>
      </c>
    </row>
    <row r="16" spans="1:16">
      <c r="B16" s="6"/>
      <c r="E16" s="15"/>
      <c r="F16" s="6"/>
    </row>
    <row r="17" spans="2:6">
      <c r="B17" s="6"/>
      <c r="E17" s="15"/>
      <c r="F17" s="6"/>
    </row>
    <row r="18" spans="2:6">
      <c r="B18" s="6"/>
      <c r="E18" s="15"/>
      <c r="F18" s="6"/>
    </row>
    <row r="19" spans="2:6">
      <c r="B19" s="6"/>
      <c r="E19" s="15"/>
      <c r="F19" s="6"/>
    </row>
    <row r="20" spans="2:6">
      <c r="B20" s="6"/>
      <c r="E20" s="15"/>
      <c r="F20" s="6"/>
    </row>
    <row r="21" spans="2:6">
      <c r="B21" s="6"/>
      <c r="E21" s="15"/>
      <c r="F21" s="6"/>
    </row>
    <row r="22" spans="2:6">
      <c r="B22" s="6"/>
      <c r="E22" s="15"/>
      <c r="F22" s="6"/>
    </row>
    <row r="23" spans="2:6">
      <c r="B23" s="6"/>
      <c r="E23" s="15"/>
      <c r="F23" s="6"/>
    </row>
    <row r="24" spans="2:6">
      <c r="B24" s="6"/>
      <c r="E24" s="15"/>
      <c r="F24" s="6"/>
    </row>
    <row r="25" spans="2:6">
      <c r="B25" s="6"/>
      <c r="E25" s="15"/>
      <c r="F25" s="6"/>
    </row>
    <row r="26" spans="2:6">
      <c r="B26" s="6"/>
      <c r="E26" s="15"/>
      <c r="F26" s="6"/>
    </row>
    <row r="27" spans="2:6">
      <c r="B27" s="6"/>
      <c r="E27" s="15"/>
      <c r="F27" s="6"/>
    </row>
    <row r="28" spans="2:6">
      <c r="B28" s="6"/>
      <c r="E28" s="15"/>
      <c r="F28" s="6"/>
    </row>
    <row r="29" spans="2:6">
      <c r="B29" s="6"/>
      <c r="E29" s="15"/>
      <c r="F29" s="6"/>
    </row>
    <row r="30" spans="2:6">
      <c r="B30" s="6"/>
      <c r="E30" s="15"/>
      <c r="F30" s="6"/>
    </row>
    <row r="31" spans="2:6">
      <c r="B31" s="6"/>
      <c r="E31" s="15"/>
      <c r="F31" s="6"/>
    </row>
    <row r="32" spans="2:6">
      <c r="B32" s="6"/>
      <c r="E32" s="15"/>
      <c r="F32" s="6"/>
    </row>
    <row r="33" spans="2:6">
      <c r="B33" s="6"/>
      <c r="E33" s="15"/>
      <c r="F33" s="6"/>
    </row>
    <row r="34" spans="2:6">
      <c r="B34" s="6"/>
      <c r="E34" s="15"/>
      <c r="F34" s="6"/>
    </row>
    <row r="35" spans="2:6">
      <c r="B35" s="6"/>
      <c r="E35" s="15"/>
      <c r="F35" s="6"/>
    </row>
    <row r="36" spans="2:6">
      <c r="B36" s="6"/>
      <c r="E36" s="15"/>
      <c r="F36" s="6"/>
    </row>
    <row r="37" spans="2:6">
      <c r="B37" s="6"/>
      <c r="E37" s="15"/>
      <c r="F37" s="6"/>
    </row>
    <row r="38" spans="2:6">
      <c r="B38" s="6"/>
      <c r="E38" s="15"/>
      <c r="F38" s="6"/>
    </row>
    <row r="39" spans="2:6">
      <c r="B39" s="6"/>
      <c r="E39" s="15"/>
      <c r="F39" s="6"/>
    </row>
    <row r="40" spans="2:6">
      <c r="B40" s="6"/>
      <c r="E40" s="15"/>
      <c r="F40" s="6"/>
    </row>
    <row r="41" spans="2:6">
      <c r="B41" s="6"/>
      <c r="E41" s="15"/>
      <c r="F41" s="6"/>
    </row>
    <row r="42" spans="2:6">
      <c r="B42" s="6"/>
      <c r="E42" s="15"/>
      <c r="F42" s="6"/>
    </row>
    <row r="43" spans="2:6">
      <c r="B43" s="6"/>
      <c r="E43" s="15"/>
      <c r="F43" s="6"/>
    </row>
    <row r="44" spans="2:6">
      <c r="B44" s="6"/>
      <c r="E44" s="15"/>
      <c r="F44" s="6"/>
    </row>
    <row r="45" spans="2:6">
      <c r="B45" s="6"/>
      <c r="E45" s="15"/>
      <c r="F45" s="6"/>
    </row>
    <row r="46" spans="2:6">
      <c r="B46" s="6"/>
      <c r="E46" s="15"/>
      <c r="F46" s="6"/>
    </row>
    <row r="47" spans="2:6">
      <c r="B47" s="6"/>
      <c r="E47" s="15"/>
      <c r="F47" s="6"/>
    </row>
    <row r="48" spans="2:6">
      <c r="B48" s="6"/>
      <c r="E48" s="15"/>
      <c r="F48" s="6"/>
    </row>
    <row r="49" spans="2:6">
      <c r="B49" s="6"/>
      <c r="E49" s="15"/>
      <c r="F49" s="6"/>
    </row>
    <row r="50" spans="2:6">
      <c r="B50" s="6"/>
      <c r="E50" s="15"/>
      <c r="F50" s="6"/>
    </row>
    <row r="51" spans="2:6">
      <c r="B51" s="6"/>
      <c r="E51" s="15"/>
      <c r="F51" s="6"/>
    </row>
    <row r="52" spans="2:6">
      <c r="B52" s="6"/>
      <c r="E52" s="15"/>
      <c r="F52" s="6"/>
    </row>
    <row r="53" spans="2:6">
      <c r="B53" s="6"/>
      <c r="E53" s="15"/>
      <c r="F53" s="6"/>
    </row>
    <row r="54" spans="2:6">
      <c r="B54" s="6"/>
      <c r="E54" s="15"/>
      <c r="F54" s="6"/>
    </row>
    <row r="55" spans="2:6">
      <c r="B55" s="6"/>
      <c r="E55" s="15"/>
      <c r="F55" s="6"/>
    </row>
    <row r="56" spans="2:6">
      <c r="B56" s="6"/>
      <c r="E56" s="15"/>
      <c r="F56" s="6"/>
    </row>
    <row r="57" spans="2:6">
      <c r="B57" s="6"/>
      <c r="E57" s="15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</sheetData>
  <phoneticPr fontId="7" type="noConversion"/>
  <hyperlinks>
    <hyperlink ref="P11" r:id="rId1" display="http://www.konkoly.hu/cgi-bin/IBVS?5263" xr:uid="{00000000-0004-0000-0100-000000000000}"/>
    <hyperlink ref="P12" r:id="rId2" display="http://var.astro.cz/oejv/issues/oejv0074.pdf" xr:uid="{00000000-0004-0000-0100-000001000000}"/>
    <hyperlink ref="P13" r:id="rId3" display="http://www.konkoly.hu/cgi-bin/IBVS?5713" xr:uid="{00000000-0004-0000-0100-000002000000}"/>
    <hyperlink ref="P15" r:id="rId4" display="http://www.bav-astro.de/sfs/BAVM_link.php?BAVMnr=212" xr:uid="{00000000-0004-0000-0100-000003000000}"/>
    <hyperlink ref="P14" r:id="rId5" display="http://www.konkoly.hu/cgi-bin/IBVS?5945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2024-07-29T05:28:10Z</dcterms:modified>
</cp:coreProperties>
</file>