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F1554B8-6ACF-42B1-8B6B-1C1ABF95D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43" i="1"/>
  <c r="G19" i="2"/>
  <c r="C19" i="2"/>
  <c r="G18" i="2"/>
  <c r="C18" i="2"/>
  <c r="G17" i="2"/>
  <c r="C17" i="2"/>
  <c r="G16" i="2"/>
  <c r="C16" i="2"/>
  <c r="G36" i="2"/>
  <c r="C36" i="2"/>
  <c r="G15" i="2"/>
  <c r="C15" i="2"/>
  <c r="G14" i="2"/>
  <c r="C14" i="2"/>
  <c r="G13" i="2"/>
  <c r="C13" i="2"/>
  <c r="G12" i="2"/>
  <c r="C12" i="2"/>
  <c r="G11" i="2"/>
  <c r="C11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36" i="2"/>
  <c r="B36" i="2"/>
  <c r="D36" i="2"/>
  <c r="A3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F11" i="1"/>
  <c r="Q46" i="1"/>
  <c r="Q47" i="1"/>
  <c r="Q44" i="1"/>
  <c r="Q45" i="1"/>
  <c r="G11" i="1"/>
  <c r="F14" i="1"/>
  <c r="Q42" i="1"/>
  <c r="C7" i="1"/>
  <c r="E21" i="1"/>
  <c r="F21" i="1"/>
  <c r="C8" i="1"/>
  <c r="Q38" i="1"/>
  <c r="Q39" i="1"/>
  <c r="Q41" i="1"/>
  <c r="Q40" i="1"/>
  <c r="C17" i="1"/>
  <c r="Q29" i="1"/>
  <c r="E23" i="2"/>
  <c r="E36" i="2"/>
  <c r="E35" i="2"/>
  <c r="E12" i="2"/>
  <c r="E20" i="2"/>
  <c r="E13" i="2"/>
  <c r="E22" i="2"/>
  <c r="E25" i="2"/>
  <c r="E21" i="2"/>
  <c r="E14" i="2"/>
  <c r="G41" i="1"/>
  <c r="K41" i="1"/>
  <c r="E39" i="1"/>
  <c r="F39" i="1"/>
  <c r="E32" i="1"/>
  <c r="F32" i="1"/>
  <c r="E23" i="1"/>
  <c r="F23" i="1"/>
  <c r="E45" i="1"/>
  <c r="F45" i="1"/>
  <c r="G45" i="1"/>
  <c r="K45" i="1"/>
  <c r="G38" i="1"/>
  <c r="K38" i="1"/>
  <c r="E37" i="1"/>
  <c r="F37" i="1"/>
  <c r="E28" i="1"/>
  <c r="F28" i="1"/>
  <c r="G28" i="1"/>
  <c r="I28" i="1"/>
  <c r="G22" i="1"/>
  <c r="I22" i="1"/>
  <c r="E41" i="1"/>
  <c r="F41" i="1"/>
  <c r="G36" i="1"/>
  <c r="I36" i="1"/>
  <c r="E34" i="1"/>
  <c r="F34" i="1"/>
  <c r="G34" i="1"/>
  <c r="I34" i="1"/>
  <c r="E25" i="1"/>
  <c r="E29" i="1"/>
  <c r="F29" i="1"/>
  <c r="E47" i="1"/>
  <c r="F47" i="1"/>
  <c r="G47" i="1"/>
  <c r="K47" i="1"/>
  <c r="E38" i="1"/>
  <c r="F38" i="1"/>
  <c r="E31" i="1"/>
  <c r="F31" i="1"/>
  <c r="G31" i="1"/>
  <c r="I31" i="1"/>
  <c r="E22" i="1"/>
  <c r="F22" i="1"/>
  <c r="E44" i="1"/>
  <c r="F44" i="1"/>
  <c r="G44" i="1"/>
  <c r="K44" i="1"/>
  <c r="E36" i="1"/>
  <c r="F36" i="1"/>
  <c r="E27" i="1"/>
  <c r="F27" i="1"/>
  <c r="G27" i="1"/>
  <c r="I27" i="1"/>
  <c r="E40" i="1"/>
  <c r="F40" i="1"/>
  <c r="G40" i="1"/>
  <c r="K40" i="1"/>
  <c r="G35" i="1"/>
  <c r="I35" i="1"/>
  <c r="E33" i="1"/>
  <c r="F33" i="1"/>
  <c r="G33" i="1"/>
  <c r="I33" i="1"/>
  <c r="E24" i="1"/>
  <c r="F24" i="1"/>
  <c r="G24" i="1"/>
  <c r="I24" i="1"/>
  <c r="G21" i="1"/>
  <c r="E46" i="1"/>
  <c r="F46" i="1"/>
  <c r="G46" i="1"/>
  <c r="K46" i="1"/>
  <c r="G39" i="1"/>
  <c r="K39" i="1"/>
  <c r="E43" i="1"/>
  <c r="F43" i="1"/>
  <c r="G43" i="1"/>
  <c r="K43" i="1"/>
  <c r="G32" i="1"/>
  <c r="I32" i="1"/>
  <c r="E30" i="1"/>
  <c r="F30" i="1"/>
  <c r="G30" i="1"/>
  <c r="I30" i="1"/>
  <c r="G23" i="1"/>
  <c r="I23" i="1"/>
  <c r="E42" i="1"/>
  <c r="F42" i="1"/>
  <c r="G42" i="1"/>
  <c r="K42" i="1"/>
  <c r="G37" i="1"/>
  <c r="I37" i="1"/>
  <c r="E35" i="1"/>
  <c r="F35" i="1"/>
  <c r="E26" i="1"/>
  <c r="F26" i="1"/>
  <c r="G26" i="1"/>
  <c r="I26" i="1"/>
  <c r="E15" i="2"/>
  <c r="I21" i="1"/>
  <c r="E16" i="2"/>
  <c r="E17" i="2"/>
  <c r="E29" i="2"/>
  <c r="E33" i="2"/>
  <c r="E27" i="2"/>
  <c r="E26" i="2"/>
  <c r="E34" i="2"/>
  <c r="E18" i="2"/>
  <c r="E28" i="2"/>
  <c r="F25" i="1"/>
  <c r="G25" i="1"/>
  <c r="E24" i="2"/>
  <c r="E19" i="2"/>
  <c r="E31" i="2"/>
  <c r="E11" i="2"/>
  <c r="E32" i="2"/>
  <c r="E30" i="2"/>
  <c r="I25" i="1"/>
  <c r="C12" i="1"/>
  <c r="C16" i="1" l="1"/>
  <c r="D18" i="1" s="1"/>
  <c r="F15" i="1"/>
  <c r="C11" i="1"/>
  <c r="O23" i="1" l="1"/>
  <c r="O29" i="1"/>
  <c r="O38" i="1"/>
  <c r="O31" i="1"/>
  <c r="O25" i="1"/>
  <c r="O28" i="1"/>
  <c r="O44" i="1"/>
  <c r="O34" i="1"/>
  <c r="O33" i="1"/>
  <c r="O41" i="1"/>
  <c r="O26" i="1"/>
  <c r="O27" i="1"/>
  <c r="O21" i="1"/>
  <c r="O32" i="1"/>
  <c r="O35" i="1"/>
  <c r="O36" i="1"/>
  <c r="O30" i="1"/>
  <c r="O40" i="1"/>
  <c r="O45" i="1"/>
  <c r="O24" i="1"/>
  <c r="O47" i="1"/>
  <c r="O37" i="1"/>
  <c r="O43" i="1"/>
  <c r="O39" i="1"/>
  <c r="O46" i="1"/>
  <c r="O42" i="1"/>
  <c r="C15" i="1"/>
  <c r="O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<sst xmlns="http://schemas.openxmlformats.org/spreadsheetml/2006/main" count="309" uniqueCount="165">
  <si>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</si>
  <si>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</si>
  <si>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</si>
  <si>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</si>
  <si>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</si>
  <si>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</si>
  <si>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</si>
  <si>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</si>
  <si>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</si>
  <si>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</si>
  <si>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</si>
  <si>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</si>
  <si>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</si>
  <si>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</si>
  <si>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</si>
  <si>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</si>
  <si>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</si>
  <si>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</si>
  <si>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</si>
  <si>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</si>
  <si>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</si>
  <si>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</si>
  <si>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</si>
  <si>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</si>
  <si>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</si>
  <si>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</si>
  <si>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</si>
  <si>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</si>
  <si>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EB/KE</t>
  </si>
  <si>
    <t>IBVS 5017</t>
  </si>
  <si>
    <t>IBVS 5296</t>
  </si>
  <si>
    <t># of data points:</t>
  </si>
  <si>
    <t>HI Vul / GSC 02152-06136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</si>
  <si>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</si>
  <si>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</si>
  <si>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</si>
  <si>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</si>
  <si>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</si>
  <si>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4712</t>
  </si>
  <si>
    <t>I</t>
  </si>
  <si>
    <t>IBVS 5761</t>
  </si>
  <si>
    <t>IBVS 5874</t>
  </si>
  <si>
    <t>Add cycle</t>
  </si>
  <si>
    <t>Old Cycle</t>
  </si>
  <si>
    <t>IBVS 6010</t>
  </si>
  <si>
    <t>IBVS 6084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</si>
  <si>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</si>
  <si>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</si>
  <si>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</si>
  <si>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</si>
  <si>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</si>
  <si>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</si>
  <si>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</si>
  <si>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</si>
  <si>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</si>
  <si>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</si>
  <si>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</si>
  <si>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</si>
  <si>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2428109.410 </t>
  </si>
  <si>
    <t> 02.11.1935 21:50 </t>
  </si>
  <si>
    <t> -0.112 </t>
  </si>
  <si>
    <t>P </t>
  </si>
  <si>
    <t> A.A.Wachmann </t>
  </si>
  <si>
    <t> AHSB 6.56 </t>
  </si>
  <si>
    <t>2428362.446 </t>
  </si>
  <si>
    <t> 12.07.1936 22:42 </t>
  </si>
  <si>
    <t> 0.001 </t>
  </si>
  <si>
    <t>2428419.370 </t>
  </si>
  <si>
    <t> 07.09.1936 20:52 </t>
  </si>
  <si>
    <t>2428428.400 </t>
  </si>
  <si>
    <t> 16.09.1936 21:36 </t>
  </si>
  <si>
    <t> -0.025 </t>
  </si>
  <si>
    <t>2428859.216 </t>
  </si>
  <si>
    <t> 21.11.1937 17:11 </t>
  </si>
  <si>
    <t> -0.020 </t>
  </si>
  <si>
    <t>2429216.249 </t>
  </si>
  <si>
    <t> 13.11.1938 17:58 </t>
  </si>
  <si>
    <t> -0.055 </t>
  </si>
  <si>
    <t>2429251.297 </t>
  </si>
  <si>
    <t> 18.12.1938 19:07 </t>
  </si>
  <si>
    <t> 0.063 </t>
  </si>
  <si>
    <t>2432797.382 </t>
  </si>
  <si>
    <t> 02.09.1948 21:10 </t>
  </si>
  <si>
    <t> 0.048 </t>
  </si>
  <si>
    <t>2434119.525 </t>
  </si>
  <si>
    <t> 17.04.1952 00:36 </t>
  </si>
  <si>
    <t> 0.004 </t>
  </si>
  <si>
    <t>2434132.505 </t>
  </si>
  <si>
    <t> 30.04.1952 00:07 </t>
  </si>
  <si>
    <t> 0.047 </t>
  </si>
  <si>
    <t>2434150.296 </t>
  </si>
  <si>
    <t> 17.05.1952 19:06 </t>
  </si>
  <si>
    <t> -0.274 </t>
  </si>
  <si>
    <t>2434947.473 </t>
  </si>
  <si>
    <t> 23.07.1954 23:21 </t>
  </si>
  <si>
    <t> -0.032 </t>
  </si>
  <si>
    <t>2435074.290 </t>
  </si>
  <si>
    <t> 27.11.1954 18:57 </t>
  </si>
  <si>
    <t> 0.000 </t>
  </si>
  <si>
    <t>2435317.523 </t>
  </si>
  <si>
    <t> 29.07.1955 00:33 </t>
  </si>
  <si>
    <t> 0.013 </t>
  </si>
  <si>
    <t>2435370.533 </t>
  </si>
  <si>
    <t> 20.09.1955 00:47 </t>
  </si>
  <si>
    <t>2435374.444 </t>
  </si>
  <si>
    <t> 23.09.1955 22:39 </t>
  </si>
  <si>
    <t> 0.010 </t>
  </si>
  <si>
    <t>2450680.4438 </t>
  </si>
  <si>
    <t> 19.08.1997 22:39 </t>
  </si>
  <si>
    <t> -0.0496 </t>
  </si>
  <si>
    <t>E </t>
  </si>
  <si>
    <t>o</t>
  </si>
  <si>
    <t> F.Agerer </t>
  </si>
  <si>
    <t>BAVM 118 </t>
  </si>
  <si>
    <t>2451354.4765 </t>
  </si>
  <si>
    <t> 24.06.1999 23:26 </t>
  </si>
  <si>
    <t> -0.0476 </t>
  </si>
  <si>
    <t>BAVM 133 </t>
  </si>
  <si>
    <t>2452094.4834 </t>
  </si>
  <si>
    <t> 03.07.2001 23:36 </t>
  </si>
  <si>
    <t> -0.0514 </t>
  </si>
  <si>
    <t>BAVM 152 </t>
  </si>
  <si>
    <t>2453935.4488 </t>
  </si>
  <si>
    <t> 18.07.2006 22:46 </t>
  </si>
  <si>
    <t> -0.0565 </t>
  </si>
  <si>
    <t>C </t>
  </si>
  <si>
    <t>-I</t>
  </si>
  <si>
    <t>BAVM 183 </t>
  </si>
  <si>
    <t>2454631.4745 </t>
  </si>
  <si>
    <t> 13.06.2008 23:23 </t>
  </si>
  <si>
    <t>15855</t>
  </si>
  <si>
    <t> -0.0548 </t>
  </si>
  <si>
    <t>BAVM 201 </t>
  </si>
  <si>
    <t>2454697.4526 </t>
  </si>
  <si>
    <t> 18.08.2008 22:51 </t>
  </si>
  <si>
    <t>15906</t>
  </si>
  <si>
    <t> -0.0567 </t>
  </si>
  <si>
    <t>BAVM 203 </t>
  </si>
  <si>
    <t>2455741.4836 </t>
  </si>
  <si>
    <t> 28.06.2011 23:36 </t>
  </si>
  <si>
    <t>16713</t>
  </si>
  <si>
    <t> -0.0617 </t>
  </si>
  <si>
    <t>BAVM 220 </t>
  </si>
  <si>
    <t>2455776.4150 </t>
  </si>
  <si>
    <t> 02.08.2011 21:57 </t>
  </si>
  <si>
    <t>16740</t>
  </si>
  <si>
    <t> -0.0608 </t>
  </si>
  <si>
    <t>2456179.4133 </t>
  </si>
  <si>
    <t> 08.09.2012 21:55 </t>
  </si>
  <si>
    <t>17051.5</t>
  </si>
  <si>
    <t> -0.0578 </t>
  </si>
  <si>
    <t> P.Frank </t>
  </si>
  <si>
    <t>BAVM 232 </t>
  </si>
  <si>
    <t>2456203.3441 </t>
  </si>
  <si>
    <t> 02.10.2012 20:15 </t>
  </si>
  <si>
    <t>17070</t>
  </si>
  <si>
    <t> -0.0609 </t>
  </si>
  <si>
    <t>BAVM 231 </t>
  </si>
  <si>
    <t>II</t>
  </si>
  <si>
    <t>PE?</t>
  </si>
  <si>
    <t>Next ToM-P</t>
  </si>
  <si>
    <t>Next ToM-S</t>
  </si>
  <si>
    <t>12.3-12.7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</si>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</sst>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6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3" borderId="12" xfId="0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22" fontId="8" fillId="0" borderId="15" xfId="0" applyNumberFormat="1" applyFont="1" applyBorder="1" applyAlignment="1">
      <alignment vertical="center"/>
    </xf>
    <xf numFmtId="22" fontId="20" fillId="0" borderId="16" xfId="0" applyNumberFormat="1" applyFont="1" applyBorder="1" applyAlignment="1">
      <alignment vertical="center"/>
    </xf>
    <xf numFmtId="0" fontId="19" fillId="0" borderId="17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Vul - O-C Diagr.</a:t>
            </a:r>
          </a:p>
        </c:rich>
      </c:tx>
      <c:layout>
        <c:manualLayout>
          <c:xMode val="edge"/>
          <c:yMode val="edge"/>
          <c:x val="0.3861069628008937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EF-4E29-AFBF-9A04925BF9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-0.11197705000085989</c:v>
                </c:pt>
                <c:pt idx="1">
                  <c:v>8.0499999967287295E-4</c:v>
                </c:pt>
                <c:pt idx="2">
                  <c:v>9.0939999790862203E-4</c:v>
                </c:pt>
                <c:pt idx="3">
                  <c:v>-2.5164899998344481E-2</c:v>
                </c:pt>
                <c:pt idx="4">
                  <c:v>-1.955660000021453E-2</c:v>
                </c:pt>
                <c:pt idx="5">
                  <c:v>-5.4629000002023531E-2</c:v>
                </c:pt>
                <c:pt idx="6">
                  <c:v>6.2798699997074436E-2</c:v>
                </c:pt>
                <c:pt idx="7">
                  <c:v>4.7847800000454299E-2</c:v>
                </c:pt>
                <c:pt idx="9">
                  <c:v>4.0000000008149073E-3</c:v>
                </c:pt>
                <c:pt idx="10">
                  <c:v>4.6750999994401354E-2</c:v>
                </c:pt>
                <c:pt idx="11">
                  <c:v>-0.27439759999833768</c:v>
                </c:pt>
                <c:pt idx="12">
                  <c:v>-3.1935999999404885E-2</c:v>
                </c:pt>
                <c:pt idx="13">
                  <c:v>2.3799999326001853E-5</c:v>
                </c:pt>
                <c:pt idx="14">
                  <c:v>1.2742600003548432E-2</c:v>
                </c:pt>
                <c:pt idx="15">
                  <c:v>-1.9978299998911098E-2</c:v>
                </c:pt>
                <c:pt idx="16">
                  <c:v>9.8470000011730008E-3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EF-4E29-AFBF-9A04925BF9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EF-4E29-AFBF-9A04925BF9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7">
                  <c:v>-4.9644899998384062E-2</c:v>
                </c:pt>
                <c:pt idx="18">
                  <c:v>-4.7617800002626609E-2</c:v>
                </c:pt>
                <c:pt idx="19">
                  <c:v>-5.136060000222642E-2</c:v>
                </c:pt>
                <c:pt idx="20">
                  <c:v>-5.6493299998692237E-2</c:v>
                </c:pt>
                <c:pt idx="21">
                  <c:v>-5.4789500005426817E-2</c:v>
                </c:pt>
                <c:pt idx="22">
                  <c:v>-5.6659400004718918E-2</c:v>
                </c:pt>
                <c:pt idx="23">
                  <c:v>-6.1653699995076749E-2</c:v>
                </c:pt>
                <c:pt idx="24">
                  <c:v>-6.0826000000815839E-2</c:v>
                </c:pt>
                <c:pt idx="25">
                  <c:v>-5.7832350001262967E-2</c:v>
                </c:pt>
                <c:pt idx="26">
                  <c:v>-6.0942999996768776E-2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EF-4E29-AFBF-9A04925BF9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EF-4E29-AFBF-9A04925BF9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EF-4E29-AFBF-9A04925BF9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EF-4E29-AFBF-9A04925BF9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-1.6929704560257695E-2</c:v>
                </c:pt>
                <c:pt idx="1">
                  <c:v>-1.7298101844102333E-2</c:v>
                </c:pt>
                <c:pt idx="2">
                  <c:v>-1.7381014787780924E-2</c:v>
                </c:pt>
                <c:pt idx="3">
                  <c:v>-1.7394205483366156E-2</c:v>
                </c:pt>
                <c:pt idx="4">
                  <c:v>-1.8021705716206385E-2</c:v>
                </c:pt>
                <c:pt idx="5">
                  <c:v>-1.8541795999281175E-2</c:v>
                </c:pt>
                <c:pt idx="6">
                  <c:v>-1.859267439653849E-2</c:v>
                </c:pt>
                <c:pt idx="7">
                  <c:v>-2.3757773910697881E-2</c:v>
                </c:pt>
                <c:pt idx="8">
                  <c:v>-2.5683615466141476E-2</c:v>
                </c:pt>
                <c:pt idx="9">
                  <c:v>-2.5683615466141476E-2</c:v>
                </c:pt>
                <c:pt idx="10">
                  <c:v>-2.5702459316977518E-2</c:v>
                </c:pt>
                <c:pt idx="11">
                  <c:v>-2.5728840708147981E-2</c:v>
                </c:pt>
                <c:pt idx="12">
                  <c:v>-2.6889621919648228E-2</c:v>
                </c:pt>
                <c:pt idx="13">
                  <c:v>-2.7074291657841452E-2</c:v>
                </c:pt>
                <c:pt idx="14">
                  <c:v>-2.742855605355906E-2</c:v>
                </c:pt>
                <c:pt idx="15">
                  <c:v>-2.7505815841986834E-2</c:v>
                </c:pt>
                <c:pt idx="16">
                  <c:v>-2.7511468997237647E-2</c:v>
                </c:pt>
                <c:pt idx="17">
                  <c:v>-4.9805628921360139E-2</c:v>
                </c:pt>
                <c:pt idx="18">
                  <c:v>-5.0787393549917979E-2</c:v>
                </c:pt>
                <c:pt idx="19">
                  <c:v>-5.1865261817739636E-2</c:v>
                </c:pt>
                <c:pt idx="20">
                  <c:v>-5.4546741791708556E-2</c:v>
                </c:pt>
                <c:pt idx="21">
                  <c:v>-5.5560540966687673E-2</c:v>
                </c:pt>
                <c:pt idx="22">
                  <c:v>-5.5656644605951489E-2</c:v>
                </c:pt>
                <c:pt idx="23">
                  <c:v>-5.7177343368420161E-2</c:v>
                </c:pt>
                <c:pt idx="24">
                  <c:v>-5.7228221765677476E-2</c:v>
                </c:pt>
                <c:pt idx="25">
                  <c:v>-5.7815207719220219E-2</c:v>
                </c:pt>
                <c:pt idx="26">
                  <c:v>-5.7850068843266905E-2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EF-4E29-AFBF-9A04925BF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260344"/>
        <c:axId val="1"/>
      </c:scatterChart>
      <c:valAx>
        <c:axId val="661260344"/>
        <c:scaling>
          <c:orientation val="minMax"/>
          <c:max val="18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260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2165587540652"/>
          <c:y val="0.92024539877300615"/>
          <c:w val="0.7463656138297737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HI Vul - O-C Diagr.</a:t>
            </a:r>
          </a:p>
        </c:rich>
      </c:tx>
      <c:layout>
        <c:manualLayout>
          <c:xMode val="edge"/>
          <c:yMode val="edge"/>
          <c:x val="0.3854838709677419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B6-412C-8D7A-3362079A81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-0.11197705000085989</c:v>
                </c:pt>
                <c:pt idx="1">
                  <c:v>8.0499999967287295E-4</c:v>
                </c:pt>
                <c:pt idx="2">
                  <c:v>9.0939999790862203E-4</c:v>
                </c:pt>
                <c:pt idx="3">
                  <c:v>-2.5164899998344481E-2</c:v>
                </c:pt>
                <c:pt idx="4">
                  <c:v>-1.955660000021453E-2</c:v>
                </c:pt>
                <c:pt idx="5">
                  <c:v>-5.4629000002023531E-2</c:v>
                </c:pt>
                <c:pt idx="6">
                  <c:v>6.2798699997074436E-2</c:v>
                </c:pt>
                <c:pt idx="7">
                  <c:v>4.7847800000454299E-2</c:v>
                </c:pt>
                <c:pt idx="9">
                  <c:v>4.0000000008149073E-3</c:v>
                </c:pt>
                <c:pt idx="10">
                  <c:v>4.6750999994401354E-2</c:v>
                </c:pt>
                <c:pt idx="11">
                  <c:v>-0.27439759999833768</c:v>
                </c:pt>
                <c:pt idx="12">
                  <c:v>-3.1935999999404885E-2</c:v>
                </c:pt>
                <c:pt idx="13">
                  <c:v>2.3799999326001853E-5</c:v>
                </c:pt>
                <c:pt idx="14">
                  <c:v>1.2742600003548432E-2</c:v>
                </c:pt>
                <c:pt idx="15">
                  <c:v>-1.9978299998911098E-2</c:v>
                </c:pt>
                <c:pt idx="16">
                  <c:v>9.8470000011730008E-3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B6-412C-8D7A-3362079A81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B6-412C-8D7A-3362079A81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7">
                  <c:v>-4.9644899998384062E-2</c:v>
                </c:pt>
                <c:pt idx="18">
                  <c:v>-4.7617800002626609E-2</c:v>
                </c:pt>
                <c:pt idx="19">
                  <c:v>-5.136060000222642E-2</c:v>
                </c:pt>
                <c:pt idx="20">
                  <c:v>-5.6493299998692237E-2</c:v>
                </c:pt>
                <c:pt idx="21">
                  <c:v>-5.4789500005426817E-2</c:v>
                </c:pt>
                <c:pt idx="22">
                  <c:v>-5.6659400004718918E-2</c:v>
                </c:pt>
                <c:pt idx="23">
                  <c:v>-6.1653699995076749E-2</c:v>
                </c:pt>
                <c:pt idx="24">
                  <c:v>-6.0826000000815839E-2</c:v>
                </c:pt>
                <c:pt idx="25">
                  <c:v>-5.7832350001262967E-2</c:v>
                </c:pt>
                <c:pt idx="26">
                  <c:v>-6.0942999996768776E-2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B6-412C-8D7A-3362079A81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B6-412C-8D7A-3362079A81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B6-412C-8D7A-3362079A81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17">
                    <c:v>6.9999999999999999E-4</c:v>
                  </c:pt>
                  <c:pt idx="18">
                    <c:v>5.9999999999999995E-4</c:v>
                  </c:pt>
                  <c:pt idx="19">
                    <c:v>1E-3</c:v>
                  </c:pt>
                  <c:pt idx="20">
                    <c:v>1.9E-3</c:v>
                  </c:pt>
                  <c:pt idx="21">
                    <c:v>5.9999999999999995E-4</c:v>
                  </c:pt>
                  <c:pt idx="23">
                    <c:v>3.0999999999999999E-3</c:v>
                  </c:pt>
                  <c:pt idx="24">
                    <c:v>1.1000000000000001E-3</c:v>
                  </c:pt>
                  <c:pt idx="25">
                    <c:v>2.8E-3</c:v>
                  </c:pt>
                  <c:pt idx="26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B6-412C-8D7A-3362079A81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-4645.5</c:v>
                </c:pt>
                <c:pt idx="1">
                  <c:v>-4450</c:v>
                </c:pt>
                <c:pt idx="2">
                  <c:v>-4406</c:v>
                </c:pt>
                <c:pt idx="3">
                  <c:v>-4399</c:v>
                </c:pt>
                <c:pt idx="4">
                  <c:v>-4066</c:v>
                </c:pt>
                <c:pt idx="5">
                  <c:v>-3790</c:v>
                </c:pt>
                <c:pt idx="6">
                  <c:v>-3763</c:v>
                </c:pt>
                <c:pt idx="7">
                  <c:v>-1022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24</c:v>
                </c:pt>
                <c:pt idx="12">
                  <c:v>640</c:v>
                </c:pt>
                <c:pt idx="13">
                  <c:v>738</c:v>
                </c:pt>
                <c:pt idx="14">
                  <c:v>926</c:v>
                </c:pt>
                <c:pt idx="15">
                  <c:v>967</c:v>
                </c:pt>
                <c:pt idx="16">
                  <c:v>970</c:v>
                </c:pt>
                <c:pt idx="17">
                  <c:v>12801</c:v>
                </c:pt>
                <c:pt idx="18">
                  <c:v>13322</c:v>
                </c:pt>
                <c:pt idx="19">
                  <c:v>13894</c:v>
                </c:pt>
                <c:pt idx="20">
                  <c:v>15317</c:v>
                </c:pt>
                <c:pt idx="21">
                  <c:v>15855</c:v>
                </c:pt>
                <c:pt idx="22">
                  <c:v>15906</c:v>
                </c:pt>
                <c:pt idx="23">
                  <c:v>16713</c:v>
                </c:pt>
                <c:pt idx="24">
                  <c:v>16740</c:v>
                </c:pt>
                <c:pt idx="25">
                  <c:v>17051.5</c:v>
                </c:pt>
                <c:pt idx="26">
                  <c:v>17070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-1.6929704560257695E-2</c:v>
                </c:pt>
                <c:pt idx="1">
                  <c:v>-1.7298101844102333E-2</c:v>
                </c:pt>
                <c:pt idx="2">
                  <c:v>-1.7381014787780924E-2</c:v>
                </c:pt>
                <c:pt idx="3">
                  <c:v>-1.7394205483366156E-2</c:v>
                </c:pt>
                <c:pt idx="4">
                  <c:v>-1.8021705716206385E-2</c:v>
                </c:pt>
                <c:pt idx="5">
                  <c:v>-1.8541795999281175E-2</c:v>
                </c:pt>
                <c:pt idx="6">
                  <c:v>-1.859267439653849E-2</c:v>
                </c:pt>
                <c:pt idx="7">
                  <c:v>-2.3757773910697881E-2</c:v>
                </c:pt>
                <c:pt idx="8">
                  <c:v>-2.5683615466141476E-2</c:v>
                </c:pt>
                <c:pt idx="9">
                  <c:v>-2.5683615466141476E-2</c:v>
                </c:pt>
                <c:pt idx="10">
                  <c:v>-2.5702459316977518E-2</c:v>
                </c:pt>
                <c:pt idx="11">
                  <c:v>-2.5728840708147981E-2</c:v>
                </c:pt>
                <c:pt idx="12">
                  <c:v>-2.6889621919648228E-2</c:v>
                </c:pt>
                <c:pt idx="13">
                  <c:v>-2.7074291657841452E-2</c:v>
                </c:pt>
                <c:pt idx="14">
                  <c:v>-2.742855605355906E-2</c:v>
                </c:pt>
                <c:pt idx="15">
                  <c:v>-2.7505815841986834E-2</c:v>
                </c:pt>
                <c:pt idx="16">
                  <c:v>-2.7511468997237647E-2</c:v>
                </c:pt>
                <c:pt idx="17">
                  <c:v>-4.9805628921360139E-2</c:v>
                </c:pt>
                <c:pt idx="18">
                  <c:v>-5.0787393549917979E-2</c:v>
                </c:pt>
                <c:pt idx="19">
                  <c:v>-5.1865261817739636E-2</c:v>
                </c:pt>
                <c:pt idx="20">
                  <c:v>-5.4546741791708556E-2</c:v>
                </c:pt>
                <c:pt idx="21">
                  <c:v>-5.5560540966687673E-2</c:v>
                </c:pt>
                <c:pt idx="22">
                  <c:v>-5.5656644605951489E-2</c:v>
                </c:pt>
                <c:pt idx="23">
                  <c:v>-5.7177343368420161E-2</c:v>
                </c:pt>
                <c:pt idx="24">
                  <c:v>-5.7228221765677476E-2</c:v>
                </c:pt>
                <c:pt idx="25">
                  <c:v>-5.7815207719220219E-2</c:v>
                </c:pt>
                <c:pt idx="26">
                  <c:v>-5.7850068843266905E-2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B6-412C-8D7A-3362079A8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093216"/>
        <c:axId val="1"/>
      </c:scatterChart>
      <c:valAx>
        <c:axId val="64709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093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4921861831491"/>
          <c:w val="0.7451612903225806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47625</xdr:rowOff>
    </xdr:from>
    <xdr:to>
      <xdr:col>17</xdr:col>
      <xdr:colOff>66675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3A24130-C13D-1D51-4415-9884162D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57151</xdr:rowOff>
    </xdr:from>
    <xdr:to>
      <xdr:col>26</xdr:col>
      <xdr:colOff>438150</xdr:colOff>
      <xdr:row>18</xdr:row>
      <xdr:rowOff>57151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247CB14-23F7-0477-C7EF-70353644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33" TargetMode="External"/><Relationship Id="rId1" Type="http://schemas.openxmlformats.org/officeDocument/2006/relationships/hyperlink" Target="http://www.bav-astro.de/sfs/BAVM_link.php?BAVMnr=118" TargetMode="External"/><Relationship Id="rId6" Type="http://schemas.openxmlformats.org/officeDocument/2006/relationships/hyperlink" Target="http://www.bav-astro.de/sfs/BAVM_link.php?BAVMnr=203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2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4.855468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2" customFormat="1" ht="20.25" x14ac:dyDescent="0.2">
      <c r="A1" s="55" t="s">
        <v>32</v>
      </c>
    </row>
    <row r="2" spans="1:7" s="32" customFormat="1" ht="12.95" customHeight="1" x14ac:dyDescent="0.2">
      <c r="A2" s="32" t="s">
        <v>24</v>
      </c>
      <c r="B2" s="32" t="s">
        <v>28</v>
      </c>
    </row>
    <row r="3" spans="1:7" s="32" customFormat="1" ht="12.95" customHeight="1" thickBot="1" x14ac:dyDescent="0.25"/>
    <row r="4" spans="1:7" s="32" customFormat="1" ht="12.95" customHeight="1" thickTop="1" thickBot="1" x14ac:dyDescent="0.25">
      <c r="A4" s="33" t="s">
        <v>0</v>
      </c>
      <c r="C4" s="34">
        <v>34119.521000000001</v>
      </c>
      <c r="D4" s="35">
        <v>1.2937249</v>
      </c>
    </row>
    <row r="5" spans="1:7" s="32" customFormat="1" ht="12.95" customHeight="1" thickTop="1" x14ac:dyDescent="0.2"/>
    <row r="6" spans="1:7" s="32" customFormat="1" ht="12.95" customHeight="1" x14ac:dyDescent="0.2">
      <c r="A6" s="33" t="s">
        <v>1</v>
      </c>
    </row>
    <row r="7" spans="1:7" s="32" customFormat="1" ht="12.95" customHeight="1" x14ac:dyDescent="0.2">
      <c r="A7" s="32" t="s">
        <v>2</v>
      </c>
      <c r="C7" s="32">
        <f>+C4</f>
        <v>34119.521000000001</v>
      </c>
      <c r="D7" s="56" t="s">
        <v>164</v>
      </c>
    </row>
    <row r="8" spans="1:7" s="32" customFormat="1" ht="12.95" customHeight="1" x14ac:dyDescent="0.2">
      <c r="A8" s="32" t="s">
        <v>3</v>
      </c>
      <c r="C8" s="32">
        <f>+D4</f>
        <v>1.2937249</v>
      </c>
      <c r="D8" s="56" t="s">
        <v>164</v>
      </c>
    </row>
    <row r="9" spans="1:7" s="32" customFormat="1" ht="12.95" customHeight="1" x14ac:dyDescent="0.2">
      <c r="A9" s="36" t="s">
        <v>33</v>
      </c>
      <c r="C9" s="37">
        <v>-9.5</v>
      </c>
      <c r="D9" s="32" t="s">
        <v>34</v>
      </c>
    </row>
    <row r="10" spans="1:7" s="32" customFormat="1" ht="12.95" customHeight="1" thickBot="1" x14ac:dyDescent="0.25">
      <c r="C10" s="38" t="s">
        <v>20</v>
      </c>
      <c r="D10" s="38" t="s">
        <v>21</v>
      </c>
    </row>
    <row r="11" spans="1:7" s="32" customFormat="1" ht="12.95" customHeight="1" x14ac:dyDescent="0.2">
      <c r="A11" s="32" t="s">
        <v>16</v>
      </c>
      <c r="C11" s="39">
        <f ca="1">INTERCEPT(INDIRECT($G$11):G992,INDIRECT($F$11):F992)</f>
        <v>-2.5683615466141476E-2</v>
      </c>
      <c r="D11" s="40"/>
      <c r="F11" s="41" t="str">
        <f>"F"&amp;E19</f>
        <v>F21</v>
      </c>
      <c r="G11" s="39" t="str">
        <f>"G"&amp;E19</f>
        <v>G21</v>
      </c>
    </row>
    <row r="12" spans="1:7" s="32" customFormat="1" ht="12.95" customHeight="1" x14ac:dyDescent="0.2">
      <c r="A12" s="32" t="s">
        <v>17</v>
      </c>
      <c r="C12" s="39">
        <f ca="1">SLOPE(INDIRECT($G$11):G992,INDIRECT($F$11):F992)</f>
        <v>-1.8843850836043014E-6</v>
      </c>
      <c r="D12" s="40"/>
      <c r="E12" s="57" t="s">
        <v>163</v>
      </c>
      <c r="F12" s="58" t="s">
        <v>162</v>
      </c>
    </row>
    <row r="13" spans="1:7" s="32" customFormat="1" ht="12.95" customHeight="1" x14ac:dyDescent="0.2">
      <c r="A13" s="32" t="s">
        <v>19</v>
      </c>
      <c r="C13" s="40" t="s">
        <v>14</v>
      </c>
      <c r="E13" s="59" t="s">
        <v>42</v>
      </c>
      <c r="F13" s="60">
        <v>1</v>
      </c>
    </row>
    <row r="14" spans="1:7" s="32" customFormat="1" ht="12.95" customHeight="1" x14ac:dyDescent="0.2">
      <c r="E14" s="59" t="s">
        <v>35</v>
      </c>
      <c r="F14" s="61">
        <f ca="1">NOW()+15018.5+$C$9/24</f>
        <v>60518.844421875001</v>
      </c>
    </row>
    <row r="15" spans="1:7" s="32" customFormat="1" ht="12.95" customHeight="1" x14ac:dyDescent="0.2">
      <c r="A15" s="43" t="s">
        <v>18</v>
      </c>
      <c r="C15" s="44">
        <f ca="1">(C7+C11)+(C8+C12)*INT(MAX(F21:F3533))</f>
        <v>56203.347192931164</v>
      </c>
      <c r="E15" s="59" t="s">
        <v>43</v>
      </c>
      <c r="F15" s="61">
        <f ca="1">ROUND(2*(F14-$C$7)/$C$8,0)/2+F13</f>
        <v>20406.5</v>
      </c>
    </row>
    <row r="16" spans="1:7" s="32" customFormat="1" ht="12.95" customHeight="1" x14ac:dyDescent="0.2">
      <c r="A16" s="33" t="s">
        <v>4</v>
      </c>
      <c r="C16" s="45">
        <f ca="1">+C8+C12</f>
        <v>1.2937230156149164</v>
      </c>
      <c r="E16" s="59" t="s">
        <v>36</v>
      </c>
      <c r="F16" s="62">
        <f ca="1">ROUND(2*(F14-$C$15)/$C$16,0)/2+F13</f>
        <v>3336.5</v>
      </c>
    </row>
    <row r="17" spans="1:17" s="32" customFormat="1" ht="12.95" customHeight="1" thickBot="1" x14ac:dyDescent="0.25">
      <c r="A17" s="42" t="s">
        <v>31</v>
      </c>
      <c r="C17" s="32">
        <f>COUNT(C21:C2191)</f>
        <v>27</v>
      </c>
      <c r="E17" s="59" t="s">
        <v>160</v>
      </c>
      <c r="F17" s="63">
        <f ca="1">+$C$15+$C$16*$F$16-15018.5-$C$9/24</f>
        <v>45501.749867863669</v>
      </c>
    </row>
    <row r="18" spans="1:17" s="32" customFormat="1" ht="12.95" customHeight="1" thickTop="1" thickBot="1" x14ac:dyDescent="0.25">
      <c r="A18" s="33" t="s">
        <v>5</v>
      </c>
      <c r="C18" s="34">
        <f ca="1">+C15</f>
        <v>56203.347192931164</v>
      </c>
      <c r="D18" s="35">
        <f ca="1">+C16</f>
        <v>1.2937230156149164</v>
      </c>
      <c r="E18" s="65" t="s">
        <v>161</v>
      </c>
      <c r="F18" s="64">
        <f ca="1">+($C$15+$C$16*$F$16)-($C$16/2)-15018.5-$C$9/24</f>
        <v>45501.103006355865</v>
      </c>
    </row>
    <row r="19" spans="1:17" s="32" customFormat="1" ht="12.95" customHeight="1" thickTop="1" x14ac:dyDescent="0.2">
      <c r="A19" s="46" t="s">
        <v>37</v>
      </c>
      <c r="E19" s="47">
        <v>21</v>
      </c>
    </row>
    <row r="20" spans="1:17" s="32" customFormat="1" ht="12.95" customHeight="1" thickBot="1" x14ac:dyDescent="0.25">
      <c r="A20" s="38" t="s">
        <v>6</v>
      </c>
      <c r="B20" s="38" t="s">
        <v>7</v>
      </c>
      <c r="C20" s="38" t="s">
        <v>8</v>
      </c>
      <c r="D20" s="38" t="s">
        <v>13</v>
      </c>
      <c r="E20" s="38" t="s">
        <v>9</v>
      </c>
      <c r="F20" s="38" t="s">
        <v>10</v>
      </c>
      <c r="G20" s="38" t="s">
        <v>11</v>
      </c>
      <c r="H20" s="48" t="s">
        <v>12</v>
      </c>
      <c r="I20" s="48" t="s">
        <v>57</v>
      </c>
      <c r="J20" s="48" t="s">
        <v>159</v>
      </c>
      <c r="K20" s="48" t="s">
        <v>49</v>
      </c>
      <c r="L20" s="48" t="s">
        <v>25</v>
      </c>
      <c r="M20" s="48" t="s">
        <v>26</v>
      </c>
      <c r="N20" s="48" t="s">
        <v>27</v>
      </c>
      <c r="O20" s="48" t="s">
        <v>23</v>
      </c>
      <c r="P20" s="49" t="s">
        <v>22</v>
      </c>
      <c r="Q20" s="38" t="s">
        <v>15</v>
      </c>
    </row>
    <row r="21" spans="1:17" s="32" customFormat="1" ht="12.95" customHeight="1" x14ac:dyDescent="0.2">
      <c r="A21" s="50" t="s">
        <v>63</v>
      </c>
      <c r="B21" s="51" t="s">
        <v>158</v>
      </c>
      <c r="C21" s="52">
        <v>28109.41</v>
      </c>
      <c r="D21" s="53"/>
      <c r="E21" s="32">
        <f t="shared" ref="E21:E47" si="0">+(C21-C$7)/C$8</f>
        <v>-4645.5865539884107</v>
      </c>
      <c r="F21" s="32">
        <f t="shared" ref="F21:F47" si="1">ROUND(2*E21,0)/2</f>
        <v>-4645.5</v>
      </c>
      <c r="G21" s="32">
        <f t="shared" ref="G21:G28" si="2">+C21-(C$7+F21*C$8)</f>
        <v>-0.11197705000085989</v>
      </c>
      <c r="I21" s="32">
        <f t="shared" ref="I21:I28" si="3">+G21</f>
        <v>-0.11197705000085989</v>
      </c>
      <c r="O21" s="32">
        <f t="shared" ref="O21:O47" ca="1" si="4">+C$11+C$12*$F21</f>
        <v>-1.6929704560257695E-2</v>
      </c>
      <c r="Q21" s="54">
        <f t="shared" ref="Q21:Q47" si="5">+C21-15018.5</f>
        <v>13090.91</v>
      </c>
    </row>
    <row r="22" spans="1:17" s="32" customFormat="1" ht="12.95" customHeight="1" x14ac:dyDescent="0.2">
      <c r="A22" s="50" t="s">
        <v>63</v>
      </c>
      <c r="B22" s="51" t="s">
        <v>39</v>
      </c>
      <c r="C22" s="52">
        <v>28362.446</v>
      </c>
      <c r="D22" s="53"/>
      <c r="E22" s="32">
        <f t="shared" si="0"/>
        <v>-4449.9993777657064</v>
      </c>
      <c r="F22" s="32">
        <f t="shared" si="1"/>
        <v>-4450</v>
      </c>
      <c r="G22" s="32">
        <f t="shared" si="2"/>
        <v>8.0499999967287295E-4</v>
      </c>
      <c r="I22" s="32">
        <f t="shared" si="3"/>
        <v>8.0499999967287295E-4</v>
      </c>
      <c r="O22" s="32">
        <f t="shared" ca="1" si="4"/>
        <v>-1.7298101844102333E-2</v>
      </c>
      <c r="Q22" s="54">
        <f t="shared" si="5"/>
        <v>13343.946</v>
      </c>
    </row>
    <row r="23" spans="1:17" s="32" customFormat="1" ht="12.95" customHeight="1" x14ac:dyDescent="0.2">
      <c r="A23" s="50" t="s">
        <v>63</v>
      </c>
      <c r="B23" s="51" t="s">
        <v>39</v>
      </c>
      <c r="C23" s="52">
        <v>28419.37</v>
      </c>
      <c r="D23" s="53"/>
      <c r="E23" s="32">
        <f t="shared" si="0"/>
        <v>-4405.9992970684898</v>
      </c>
      <c r="F23" s="32">
        <f t="shared" si="1"/>
        <v>-4406</v>
      </c>
      <c r="G23" s="32">
        <f t="shared" si="2"/>
        <v>9.0939999790862203E-4</v>
      </c>
      <c r="I23" s="32">
        <f t="shared" si="3"/>
        <v>9.0939999790862203E-4</v>
      </c>
      <c r="O23" s="32">
        <f t="shared" ca="1" si="4"/>
        <v>-1.7381014787780924E-2</v>
      </c>
      <c r="Q23" s="54">
        <f t="shared" si="5"/>
        <v>13400.869999999999</v>
      </c>
    </row>
    <row r="24" spans="1:17" s="32" customFormat="1" ht="12.95" customHeight="1" x14ac:dyDescent="0.2">
      <c r="A24" s="50" t="s">
        <v>63</v>
      </c>
      <c r="B24" s="51" t="s">
        <v>39</v>
      </c>
      <c r="C24" s="52">
        <v>28428.400000000001</v>
      </c>
      <c r="D24" s="53"/>
      <c r="E24" s="32">
        <f t="shared" si="0"/>
        <v>-4399.0194515078119</v>
      </c>
      <c r="F24" s="32">
        <f t="shared" si="1"/>
        <v>-4399</v>
      </c>
      <c r="G24" s="32">
        <f t="shared" si="2"/>
        <v>-2.5164899998344481E-2</v>
      </c>
      <c r="I24" s="32">
        <f t="shared" si="3"/>
        <v>-2.5164899998344481E-2</v>
      </c>
      <c r="O24" s="32">
        <f t="shared" ca="1" si="4"/>
        <v>-1.7394205483366156E-2</v>
      </c>
      <c r="Q24" s="54">
        <f t="shared" si="5"/>
        <v>13409.900000000001</v>
      </c>
    </row>
    <row r="25" spans="1:17" s="32" customFormat="1" ht="12.95" customHeight="1" x14ac:dyDescent="0.2">
      <c r="A25" s="50" t="s">
        <v>63</v>
      </c>
      <c r="B25" s="51" t="s">
        <v>39</v>
      </c>
      <c r="C25" s="52">
        <v>28859.216</v>
      </c>
      <c r="D25" s="53"/>
      <c r="E25" s="32">
        <f t="shared" si="0"/>
        <v>-4066.0151165058355</v>
      </c>
      <c r="F25" s="32">
        <f t="shared" si="1"/>
        <v>-4066</v>
      </c>
      <c r="G25" s="32">
        <f t="shared" si="2"/>
        <v>-1.955660000021453E-2</v>
      </c>
      <c r="I25" s="32">
        <f t="shared" si="3"/>
        <v>-1.955660000021453E-2</v>
      </c>
      <c r="O25" s="32">
        <f t="shared" ca="1" si="4"/>
        <v>-1.8021705716206385E-2</v>
      </c>
      <c r="Q25" s="54">
        <f t="shared" si="5"/>
        <v>13840.716</v>
      </c>
    </row>
    <row r="26" spans="1:17" s="32" customFormat="1" ht="12.95" customHeight="1" x14ac:dyDescent="0.2">
      <c r="A26" s="50" t="s">
        <v>63</v>
      </c>
      <c r="B26" s="51" t="s">
        <v>39</v>
      </c>
      <c r="C26" s="52">
        <v>29216.249</v>
      </c>
      <c r="D26" s="53"/>
      <c r="E26" s="32">
        <f t="shared" si="0"/>
        <v>-3790.0422261332383</v>
      </c>
      <c r="F26" s="32">
        <f t="shared" si="1"/>
        <v>-3790</v>
      </c>
      <c r="G26" s="32">
        <f t="shared" si="2"/>
        <v>-5.4629000002023531E-2</v>
      </c>
      <c r="I26" s="32">
        <f t="shared" si="3"/>
        <v>-5.4629000002023531E-2</v>
      </c>
      <c r="O26" s="32">
        <f t="shared" ca="1" si="4"/>
        <v>-1.8541795999281175E-2</v>
      </c>
      <c r="Q26" s="54">
        <f t="shared" si="5"/>
        <v>14197.749</v>
      </c>
    </row>
    <row r="27" spans="1:17" s="32" customFormat="1" ht="12.95" customHeight="1" x14ac:dyDescent="0.2">
      <c r="A27" s="50" t="s">
        <v>63</v>
      </c>
      <c r="B27" s="51" t="s">
        <v>39</v>
      </c>
      <c r="C27" s="52">
        <v>29251.296999999999</v>
      </c>
      <c r="D27" s="53"/>
      <c r="E27" s="32">
        <f t="shared" si="0"/>
        <v>-3762.9514590002882</v>
      </c>
      <c r="F27" s="32">
        <f t="shared" si="1"/>
        <v>-3763</v>
      </c>
      <c r="G27" s="32">
        <f t="shared" si="2"/>
        <v>6.2798699997074436E-2</v>
      </c>
      <c r="I27" s="32">
        <f t="shared" si="3"/>
        <v>6.2798699997074436E-2</v>
      </c>
      <c r="O27" s="32">
        <f t="shared" ca="1" si="4"/>
        <v>-1.859267439653849E-2</v>
      </c>
      <c r="Q27" s="54">
        <f t="shared" si="5"/>
        <v>14232.796999999999</v>
      </c>
    </row>
    <row r="28" spans="1:17" s="32" customFormat="1" ht="12.95" customHeight="1" x14ac:dyDescent="0.2">
      <c r="A28" s="50" t="s">
        <v>63</v>
      </c>
      <c r="B28" s="51" t="s">
        <v>39</v>
      </c>
      <c r="C28" s="52">
        <v>32797.381999999998</v>
      </c>
      <c r="D28" s="53"/>
      <c r="E28" s="32">
        <f t="shared" si="0"/>
        <v>-1021.9630154757034</v>
      </c>
      <c r="F28" s="32">
        <f t="shared" si="1"/>
        <v>-1022</v>
      </c>
      <c r="G28" s="32">
        <f t="shared" si="2"/>
        <v>4.7847800000454299E-2</v>
      </c>
      <c r="I28" s="32">
        <f t="shared" si="3"/>
        <v>4.7847800000454299E-2</v>
      </c>
      <c r="O28" s="32">
        <f t="shared" ca="1" si="4"/>
        <v>-2.3757773910697881E-2</v>
      </c>
      <c r="Q28" s="54">
        <f t="shared" si="5"/>
        <v>17778.881999999998</v>
      </c>
    </row>
    <row r="29" spans="1:17" s="32" customFormat="1" ht="12.95" customHeight="1" x14ac:dyDescent="0.2">
      <c r="A29" s="32" t="s">
        <v>12</v>
      </c>
      <c r="C29" s="53">
        <v>34119.521000000001</v>
      </c>
      <c r="D29" s="53" t="s">
        <v>14</v>
      </c>
      <c r="E29" s="32">
        <f t="shared" si="0"/>
        <v>0</v>
      </c>
      <c r="F29" s="32">
        <f t="shared" si="1"/>
        <v>0</v>
      </c>
      <c r="H29" s="39">
        <v>0</v>
      </c>
      <c r="O29" s="32">
        <f t="shared" ca="1" si="4"/>
        <v>-2.5683615466141476E-2</v>
      </c>
      <c r="Q29" s="54">
        <f t="shared" si="5"/>
        <v>19101.021000000001</v>
      </c>
    </row>
    <row r="30" spans="1:17" s="32" customFormat="1" ht="12.95" customHeight="1" x14ac:dyDescent="0.2">
      <c r="A30" s="50" t="s">
        <v>63</v>
      </c>
      <c r="B30" s="51" t="s">
        <v>39</v>
      </c>
      <c r="C30" s="52">
        <v>34119.525000000001</v>
      </c>
      <c r="D30" s="53"/>
      <c r="E30" s="32">
        <f t="shared" si="0"/>
        <v>3.0918474250707451E-3</v>
      </c>
      <c r="F30" s="32">
        <f t="shared" si="1"/>
        <v>0</v>
      </c>
      <c r="G30" s="32">
        <f t="shared" ref="G30:G47" si="6">+C30-(C$7+F30*C$8)</f>
        <v>4.0000000008149073E-3</v>
      </c>
      <c r="I30" s="32">
        <f t="shared" ref="I30:I37" si="7">+G30</f>
        <v>4.0000000008149073E-3</v>
      </c>
      <c r="O30" s="32">
        <f t="shared" ca="1" si="4"/>
        <v>-2.5683615466141476E-2</v>
      </c>
      <c r="Q30" s="54">
        <f t="shared" si="5"/>
        <v>19101.025000000001</v>
      </c>
    </row>
    <row r="31" spans="1:17" x14ac:dyDescent="0.2">
      <c r="A31" s="29" t="s">
        <v>63</v>
      </c>
      <c r="B31" s="31" t="s">
        <v>39</v>
      </c>
      <c r="C31" s="30">
        <v>34132.504999999997</v>
      </c>
      <c r="D31" s="2"/>
      <c r="E31">
        <f t="shared" si="0"/>
        <v>10.036136739732489</v>
      </c>
      <c r="F31">
        <f t="shared" si="1"/>
        <v>10</v>
      </c>
      <c r="G31">
        <f t="shared" si="6"/>
        <v>4.6750999994401354E-2</v>
      </c>
      <c r="I31">
        <f t="shared" si="7"/>
        <v>4.6750999994401354E-2</v>
      </c>
      <c r="O31">
        <f t="shared" ca="1" si="4"/>
        <v>-2.5702459316977518E-2</v>
      </c>
      <c r="Q31" s="1">
        <f t="shared" si="5"/>
        <v>19114.004999999997</v>
      </c>
    </row>
    <row r="32" spans="1:17" x14ac:dyDescent="0.2">
      <c r="A32" s="29" t="s">
        <v>63</v>
      </c>
      <c r="B32" s="31" t="s">
        <v>39</v>
      </c>
      <c r="C32" s="30">
        <v>34150.296000000002</v>
      </c>
      <c r="D32" s="2"/>
      <c r="E32">
        <f t="shared" si="0"/>
        <v>23.787901121792938</v>
      </c>
      <c r="F32">
        <f t="shared" si="1"/>
        <v>24</v>
      </c>
      <c r="G32">
        <f t="shared" si="6"/>
        <v>-0.27439759999833768</v>
      </c>
      <c r="I32">
        <f t="shared" si="7"/>
        <v>-0.27439759999833768</v>
      </c>
      <c r="O32">
        <f t="shared" ca="1" si="4"/>
        <v>-2.5728840708147981E-2</v>
      </c>
      <c r="Q32" s="1">
        <f t="shared" si="5"/>
        <v>19131.796000000002</v>
      </c>
    </row>
    <row r="33" spans="1:17" x14ac:dyDescent="0.2">
      <c r="A33" s="29" t="s">
        <v>63</v>
      </c>
      <c r="B33" s="31" t="s">
        <v>39</v>
      </c>
      <c r="C33" s="30">
        <v>34947.472999999998</v>
      </c>
      <c r="D33" s="2"/>
      <c r="E33">
        <f t="shared" si="0"/>
        <v>639.97531469016133</v>
      </c>
      <c r="F33">
        <f t="shared" si="1"/>
        <v>640</v>
      </c>
      <c r="G33">
        <f t="shared" si="6"/>
        <v>-3.1935999999404885E-2</v>
      </c>
      <c r="I33">
        <f t="shared" si="7"/>
        <v>-3.1935999999404885E-2</v>
      </c>
      <c r="O33">
        <f t="shared" ca="1" si="4"/>
        <v>-2.6889621919648228E-2</v>
      </c>
      <c r="Q33" s="1">
        <f t="shared" si="5"/>
        <v>19928.972999999998</v>
      </c>
    </row>
    <row r="34" spans="1:17" x14ac:dyDescent="0.2">
      <c r="A34" s="29" t="s">
        <v>63</v>
      </c>
      <c r="B34" s="31" t="s">
        <v>39</v>
      </c>
      <c r="C34" s="30">
        <v>35074.29</v>
      </c>
      <c r="D34" s="2"/>
      <c r="E34">
        <f t="shared" si="0"/>
        <v>738.00001839649235</v>
      </c>
      <c r="F34">
        <f t="shared" si="1"/>
        <v>738</v>
      </c>
      <c r="G34">
        <f t="shared" si="6"/>
        <v>2.3799999326001853E-5</v>
      </c>
      <c r="I34">
        <f t="shared" si="7"/>
        <v>2.3799999326001853E-5</v>
      </c>
      <c r="O34">
        <f t="shared" ca="1" si="4"/>
        <v>-2.7074291657841452E-2</v>
      </c>
      <c r="Q34" s="1">
        <f t="shared" si="5"/>
        <v>20055.79</v>
      </c>
    </row>
    <row r="35" spans="1:17" x14ac:dyDescent="0.2">
      <c r="A35" s="29" t="s">
        <v>63</v>
      </c>
      <c r="B35" s="31" t="s">
        <v>39</v>
      </c>
      <c r="C35" s="30">
        <v>35317.523000000001</v>
      </c>
      <c r="D35" s="2"/>
      <c r="E35">
        <f t="shared" si="0"/>
        <v>926.00984954374803</v>
      </c>
      <c r="F35">
        <f t="shared" si="1"/>
        <v>926</v>
      </c>
      <c r="G35">
        <f t="shared" si="6"/>
        <v>1.2742600003548432E-2</v>
      </c>
      <c r="I35">
        <f t="shared" si="7"/>
        <v>1.2742600003548432E-2</v>
      </c>
      <c r="O35">
        <f t="shared" ca="1" si="4"/>
        <v>-2.742855605355906E-2</v>
      </c>
      <c r="Q35" s="1">
        <f t="shared" si="5"/>
        <v>20299.023000000001</v>
      </c>
    </row>
    <row r="36" spans="1:17" x14ac:dyDescent="0.2">
      <c r="A36" s="29" t="s">
        <v>63</v>
      </c>
      <c r="B36" s="31" t="s">
        <v>39</v>
      </c>
      <c r="C36" s="30">
        <v>35370.533000000003</v>
      </c>
      <c r="D36" s="2"/>
      <c r="E36">
        <f t="shared" si="0"/>
        <v>966.98455753615201</v>
      </c>
      <c r="F36">
        <f t="shared" si="1"/>
        <v>967</v>
      </c>
      <c r="G36">
        <f t="shared" si="6"/>
        <v>-1.9978299998911098E-2</v>
      </c>
      <c r="I36">
        <f t="shared" si="7"/>
        <v>-1.9978299998911098E-2</v>
      </c>
      <c r="O36">
        <f t="shared" ca="1" si="4"/>
        <v>-2.7505815841986834E-2</v>
      </c>
      <c r="Q36" s="1">
        <f t="shared" si="5"/>
        <v>20352.033000000003</v>
      </c>
    </row>
    <row r="37" spans="1:17" x14ac:dyDescent="0.2">
      <c r="A37" s="29" t="s">
        <v>63</v>
      </c>
      <c r="B37" s="31" t="s">
        <v>39</v>
      </c>
      <c r="C37" s="30">
        <v>35374.444000000003</v>
      </c>
      <c r="D37" s="2"/>
      <c r="E37">
        <f t="shared" si="0"/>
        <v>970.00761135539904</v>
      </c>
      <c r="F37">
        <f t="shared" si="1"/>
        <v>970</v>
      </c>
      <c r="G37">
        <f t="shared" si="6"/>
        <v>9.8470000011730008E-3</v>
      </c>
      <c r="I37">
        <f t="shared" si="7"/>
        <v>9.8470000011730008E-3</v>
      </c>
      <c r="O37">
        <f t="shared" ca="1" si="4"/>
        <v>-2.7511468997237647E-2</v>
      </c>
      <c r="Q37" s="1">
        <f t="shared" si="5"/>
        <v>20355.944000000003</v>
      </c>
    </row>
    <row r="38" spans="1:17" x14ac:dyDescent="0.2">
      <c r="A38" s="6" t="s">
        <v>38</v>
      </c>
      <c r="B38" s="7" t="s">
        <v>39</v>
      </c>
      <c r="C38" s="5">
        <v>50680.443800000001</v>
      </c>
      <c r="D38" s="5">
        <v>6.9999999999999999E-4</v>
      </c>
      <c r="E38">
        <f t="shared" si="0"/>
        <v>12800.96162638595</v>
      </c>
      <c r="F38">
        <f t="shared" si="1"/>
        <v>12801</v>
      </c>
      <c r="G38">
        <f t="shared" si="6"/>
        <v>-4.9644899998384062E-2</v>
      </c>
      <c r="K38">
        <f t="shared" ref="K38:K47" si="8">+G38</f>
        <v>-4.9644899998384062E-2</v>
      </c>
      <c r="O38">
        <f t="shared" ca="1" si="4"/>
        <v>-4.9805628921360139E-2</v>
      </c>
      <c r="Q38" s="1">
        <f t="shared" si="5"/>
        <v>35661.943800000001</v>
      </c>
    </row>
    <row r="39" spans="1:17" x14ac:dyDescent="0.2">
      <c r="A39" s="8" t="s">
        <v>29</v>
      </c>
      <c r="B39" s="9"/>
      <c r="C39" s="8">
        <v>51354.476499999997</v>
      </c>
      <c r="D39" s="8">
        <v>5.9999999999999995E-4</v>
      </c>
      <c r="E39">
        <f t="shared" si="0"/>
        <v>13321.963193256926</v>
      </c>
      <c r="F39">
        <f t="shared" si="1"/>
        <v>13322</v>
      </c>
      <c r="G39">
        <f t="shared" si="6"/>
        <v>-4.7617800002626609E-2</v>
      </c>
      <c r="K39">
        <f t="shared" si="8"/>
        <v>-4.7617800002626609E-2</v>
      </c>
      <c r="O39">
        <f t="shared" ca="1" si="4"/>
        <v>-5.0787393549917979E-2</v>
      </c>
      <c r="Q39" s="1">
        <f t="shared" si="5"/>
        <v>36335.976499999997</v>
      </c>
    </row>
    <row r="40" spans="1:17" x14ac:dyDescent="0.2">
      <c r="A40" s="10" t="s">
        <v>30</v>
      </c>
      <c r="B40" s="10"/>
      <c r="C40" s="5">
        <v>52094.483399999997</v>
      </c>
      <c r="D40" s="5">
        <v>1E-3</v>
      </c>
      <c r="E40">
        <f t="shared" si="0"/>
        <v>13893.960300215291</v>
      </c>
      <c r="F40">
        <f t="shared" si="1"/>
        <v>13894</v>
      </c>
      <c r="G40">
        <f t="shared" si="6"/>
        <v>-5.136060000222642E-2</v>
      </c>
      <c r="K40">
        <f t="shared" si="8"/>
        <v>-5.136060000222642E-2</v>
      </c>
      <c r="O40">
        <f t="shared" ca="1" si="4"/>
        <v>-5.1865261817739636E-2</v>
      </c>
      <c r="Q40" s="1">
        <f t="shared" si="5"/>
        <v>37075.983399999997</v>
      </c>
    </row>
    <row r="41" spans="1:17" x14ac:dyDescent="0.2">
      <c r="A41" s="5" t="s">
        <v>40</v>
      </c>
      <c r="B41" s="7" t="s">
        <v>39</v>
      </c>
      <c r="C41" s="5">
        <v>53935.448799999998</v>
      </c>
      <c r="D41" s="5">
        <v>1.9E-3</v>
      </c>
      <c r="E41">
        <f t="shared" si="0"/>
        <v>15316.956332833974</v>
      </c>
      <c r="F41">
        <f t="shared" si="1"/>
        <v>15317</v>
      </c>
      <c r="G41">
        <f t="shared" si="6"/>
        <v>-5.6493299998692237E-2</v>
      </c>
      <c r="K41">
        <f t="shared" si="8"/>
        <v>-5.6493299998692237E-2</v>
      </c>
      <c r="O41">
        <f t="shared" ca="1" si="4"/>
        <v>-5.4546741791708556E-2</v>
      </c>
      <c r="Q41" s="1">
        <f t="shared" si="5"/>
        <v>38916.948799999998</v>
      </c>
    </row>
    <row r="42" spans="1:17" x14ac:dyDescent="0.2">
      <c r="A42" s="5" t="s">
        <v>41</v>
      </c>
      <c r="B42" s="13" t="s">
        <v>39</v>
      </c>
      <c r="C42" s="5">
        <v>54631.474499999997</v>
      </c>
      <c r="D42" s="5">
        <v>5.9999999999999995E-4</v>
      </c>
      <c r="E42">
        <f t="shared" si="0"/>
        <v>15854.957649806382</v>
      </c>
      <c r="F42">
        <f t="shared" si="1"/>
        <v>15855</v>
      </c>
      <c r="G42">
        <f t="shared" si="6"/>
        <v>-5.4789500005426817E-2</v>
      </c>
      <c r="K42">
        <f t="shared" si="8"/>
        <v>-5.4789500005426817E-2</v>
      </c>
      <c r="O42">
        <f t="shared" ca="1" si="4"/>
        <v>-5.5560540966687673E-2</v>
      </c>
      <c r="Q42" s="1">
        <f t="shared" si="5"/>
        <v>39612.974499999997</v>
      </c>
    </row>
    <row r="43" spans="1:17" x14ac:dyDescent="0.2">
      <c r="A43" s="29" t="s">
        <v>137</v>
      </c>
      <c r="B43" s="31" t="s">
        <v>39</v>
      </c>
      <c r="C43" s="30">
        <v>54697.452599999997</v>
      </c>
      <c r="D43" s="2"/>
      <c r="E43">
        <f t="shared" si="0"/>
        <v>15905.956204445007</v>
      </c>
      <c r="F43">
        <f t="shared" si="1"/>
        <v>15906</v>
      </c>
      <c r="G43">
        <f t="shared" si="6"/>
        <v>-5.6659400004718918E-2</v>
      </c>
      <c r="K43">
        <f t="shared" si="8"/>
        <v>-5.6659400004718918E-2</v>
      </c>
      <c r="O43">
        <f t="shared" ca="1" si="4"/>
        <v>-5.5656644605951489E-2</v>
      </c>
      <c r="Q43" s="1">
        <f t="shared" si="5"/>
        <v>39678.952599999997</v>
      </c>
    </row>
    <row r="44" spans="1:17" x14ac:dyDescent="0.2">
      <c r="A44" s="8" t="s">
        <v>44</v>
      </c>
      <c r="B44" s="14" t="s">
        <v>39</v>
      </c>
      <c r="C44" s="8">
        <v>55741.4836</v>
      </c>
      <c r="D44" s="8">
        <v>3.0999999999999999E-3</v>
      </c>
      <c r="E44">
        <f t="shared" si="0"/>
        <v>16712.952344041612</v>
      </c>
      <c r="F44">
        <f t="shared" si="1"/>
        <v>16713</v>
      </c>
      <c r="G44">
        <f t="shared" si="6"/>
        <v>-6.1653699995076749E-2</v>
      </c>
      <c r="K44">
        <f t="shared" si="8"/>
        <v>-6.1653699995076749E-2</v>
      </c>
      <c r="O44">
        <f t="shared" ca="1" si="4"/>
        <v>-5.7177343368420161E-2</v>
      </c>
      <c r="Q44" s="1">
        <f t="shared" si="5"/>
        <v>40722.9836</v>
      </c>
    </row>
    <row r="45" spans="1:17" x14ac:dyDescent="0.2">
      <c r="A45" s="8" t="s">
        <v>44</v>
      </c>
      <c r="B45" s="14" t="s">
        <v>39</v>
      </c>
      <c r="C45" s="8">
        <v>55776.415000000001</v>
      </c>
      <c r="D45" s="8">
        <v>1.1000000000000001E-3</v>
      </c>
      <c r="E45">
        <f t="shared" si="0"/>
        <v>16739.952983822142</v>
      </c>
      <c r="F45">
        <f t="shared" si="1"/>
        <v>16740</v>
      </c>
      <c r="G45">
        <f t="shared" si="6"/>
        <v>-6.0826000000815839E-2</v>
      </c>
      <c r="K45">
        <f t="shared" si="8"/>
        <v>-6.0826000000815839E-2</v>
      </c>
      <c r="O45">
        <f t="shared" ca="1" si="4"/>
        <v>-5.7228221765677476E-2</v>
      </c>
      <c r="Q45" s="1">
        <f t="shared" si="5"/>
        <v>40757.915000000001</v>
      </c>
    </row>
    <row r="46" spans="1:17" x14ac:dyDescent="0.2">
      <c r="A46" s="11" t="s">
        <v>45</v>
      </c>
      <c r="B46" s="12" t="s">
        <v>39</v>
      </c>
      <c r="C46" s="11">
        <v>56179.4133</v>
      </c>
      <c r="D46" s="11">
        <v>2.8E-3</v>
      </c>
      <c r="E46">
        <f t="shared" si="0"/>
        <v>17051.455297799403</v>
      </c>
      <c r="F46">
        <f t="shared" si="1"/>
        <v>17051.5</v>
      </c>
      <c r="G46">
        <f t="shared" si="6"/>
        <v>-5.7832350001262967E-2</v>
      </c>
      <c r="K46">
        <f t="shared" si="8"/>
        <v>-5.7832350001262967E-2</v>
      </c>
      <c r="O46">
        <f t="shared" ca="1" si="4"/>
        <v>-5.7815207719220219E-2</v>
      </c>
      <c r="Q46" s="1">
        <f t="shared" si="5"/>
        <v>41160.9133</v>
      </c>
    </row>
    <row r="47" spans="1:17" x14ac:dyDescent="0.2">
      <c r="A47" s="15" t="s">
        <v>46</v>
      </c>
      <c r="B47" s="12" t="s">
        <v>39</v>
      </c>
      <c r="C47" s="11">
        <v>56203.344100000002</v>
      </c>
      <c r="D47" s="11">
        <v>3.2000000000000002E-3</v>
      </c>
      <c r="E47">
        <f t="shared" si="0"/>
        <v>17069.952893385605</v>
      </c>
      <c r="F47">
        <f t="shared" si="1"/>
        <v>17070</v>
      </c>
      <c r="G47">
        <f t="shared" si="6"/>
        <v>-6.0942999996768776E-2</v>
      </c>
      <c r="K47">
        <f t="shared" si="8"/>
        <v>-6.0942999996768776E-2</v>
      </c>
      <c r="O47">
        <f t="shared" ca="1" si="4"/>
        <v>-5.7850068843266905E-2</v>
      </c>
      <c r="Q47" s="1">
        <f t="shared" si="5"/>
        <v>41184.844100000002</v>
      </c>
    </row>
    <row r="48" spans="1:17" x14ac:dyDescent="0.2">
      <c r="B48" s="4"/>
      <c r="C48" s="2"/>
      <c r="D48" s="2"/>
    </row>
    <row r="49" spans="2:4" x14ac:dyDescent="0.2">
      <c r="B49" s="4"/>
      <c r="C49" s="2"/>
      <c r="D49" s="2"/>
    </row>
    <row r="50" spans="2:4" x14ac:dyDescent="0.2">
      <c r="B50" s="4"/>
      <c r="C50" s="2"/>
      <c r="D50" s="2"/>
    </row>
    <row r="51" spans="2:4" x14ac:dyDescent="0.2">
      <c r="B51" s="4"/>
      <c r="C51" s="2"/>
      <c r="D51" s="2"/>
    </row>
    <row r="52" spans="2:4" x14ac:dyDescent="0.2">
      <c r="B52" s="4"/>
      <c r="C52" s="2"/>
      <c r="D52" s="2"/>
    </row>
    <row r="53" spans="2:4" x14ac:dyDescent="0.2">
      <c r="B53" s="4"/>
      <c r="C53" s="2"/>
      <c r="D53" s="2"/>
    </row>
    <row r="54" spans="2:4" x14ac:dyDescent="0.2">
      <c r="C54" s="2"/>
      <c r="D54" s="2"/>
    </row>
    <row r="55" spans="2:4" x14ac:dyDescent="0.2">
      <c r="C55" s="2"/>
      <c r="D55" s="2"/>
    </row>
    <row r="56" spans="2:4" x14ac:dyDescent="0.2">
      <c r="C56" s="2"/>
      <c r="D56" s="2"/>
    </row>
    <row r="57" spans="2:4" x14ac:dyDescent="0.2">
      <c r="C57" s="2"/>
      <c r="D57" s="2"/>
    </row>
    <row r="58" spans="2:4" x14ac:dyDescent="0.2">
      <c r="C58" s="2"/>
      <c r="D58" s="2"/>
    </row>
    <row r="59" spans="2:4" x14ac:dyDescent="0.2">
      <c r="C59" s="2"/>
      <c r="D59" s="2"/>
    </row>
    <row r="60" spans="2:4" x14ac:dyDescent="0.2">
      <c r="C60" s="2"/>
      <c r="D60" s="2"/>
    </row>
    <row r="61" spans="2:4" x14ac:dyDescent="0.2">
      <c r="C61" s="2"/>
      <c r="D61" s="2"/>
    </row>
    <row r="62" spans="2:4" x14ac:dyDescent="0.2">
      <c r="C62" s="2"/>
      <c r="D62" s="2"/>
    </row>
    <row r="63" spans="2:4" x14ac:dyDescent="0.2">
      <c r="C63" s="2"/>
      <c r="D63" s="2"/>
    </row>
    <row r="64" spans="2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0"/>
  <sheetViews>
    <sheetView workbookViewId="0">
      <selection activeCell="A20" sqref="A20:C36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6" t="s">
        <v>47</v>
      </c>
      <c r="I1" s="17" t="s">
        <v>48</v>
      </c>
      <c r="J1" s="18" t="s">
        <v>49</v>
      </c>
    </row>
    <row r="2" spans="1:16" x14ac:dyDescent="0.2">
      <c r="I2" s="19" t="s">
        <v>50</v>
      </c>
      <c r="J2" s="20" t="s">
        <v>51</v>
      </c>
    </row>
    <row r="3" spans="1:16" x14ac:dyDescent="0.2">
      <c r="A3" s="21" t="s">
        <v>52</v>
      </c>
      <c r="I3" s="19" t="s">
        <v>53</v>
      </c>
      <c r="J3" s="20" t="s">
        <v>54</v>
      </c>
    </row>
    <row r="4" spans="1:16" x14ac:dyDescent="0.2">
      <c r="I4" s="19" t="s">
        <v>55</v>
      </c>
      <c r="J4" s="20" t="s">
        <v>54</v>
      </c>
    </row>
    <row r="5" spans="1:16" ht="13.5" thickBot="1" x14ac:dyDescent="0.25">
      <c r="I5" s="22" t="s">
        <v>56</v>
      </c>
      <c r="J5" s="23" t="s">
        <v>57</v>
      </c>
    </row>
    <row r="10" spans="1:16" ht="13.5" thickBot="1" x14ac:dyDescent="0.25"/>
    <row r="11" spans="1:16" ht="12.75" customHeight="1" thickBot="1" x14ac:dyDescent="0.25">
      <c r="A11" s="2" t="str">
        <f t="shared" ref="A11:A36" si="0">P11</f>
        <v>BAVM 118 </v>
      </c>
      <c r="B11" s="4" t="str">
        <f t="shared" ref="B11:B36" si="1">IF(H11=INT(H11),"I","II")</f>
        <v>I</v>
      </c>
      <c r="C11" s="2">
        <f t="shared" ref="C11:C36" si="2">1*G11</f>
        <v>50680.443800000001</v>
      </c>
      <c r="D11" s="3" t="str">
        <f t="shared" ref="D11:D36" si="3">VLOOKUP(F11,I$1:J$5,2,FALSE)</f>
        <v>vis</v>
      </c>
      <c r="E11" s="24">
        <f>VLOOKUP(C11,Active!C$21:E$973,3,FALSE)</f>
        <v>12800.96162638595</v>
      </c>
      <c r="F11" s="4" t="s">
        <v>56</v>
      </c>
      <c r="G11" s="3" t="str">
        <f t="shared" ref="G11:G36" si="4">MID(I11,3,LEN(I11)-3)</f>
        <v>50680.4438</v>
      </c>
      <c r="H11" s="2">
        <f t="shared" ref="H11:H36" si="5">1*K11</f>
        <v>12801</v>
      </c>
      <c r="I11" s="25" t="s">
        <v>107</v>
      </c>
      <c r="J11" s="26" t="s">
        <v>108</v>
      </c>
      <c r="K11" s="25">
        <v>12801</v>
      </c>
      <c r="L11" s="25" t="s">
        <v>109</v>
      </c>
      <c r="M11" s="26" t="s">
        <v>110</v>
      </c>
      <c r="N11" s="26" t="s">
        <v>111</v>
      </c>
      <c r="O11" s="27" t="s">
        <v>112</v>
      </c>
      <c r="P11" s="28" t="s">
        <v>113</v>
      </c>
    </row>
    <row r="12" spans="1:16" ht="12.75" customHeight="1" thickBot="1" x14ac:dyDescent="0.25">
      <c r="A12" s="2" t="str">
        <f t="shared" si="0"/>
        <v>BAVM 133 </v>
      </c>
      <c r="B12" s="4" t="str">
        <f t="shared" si="1"/>
        <v>I</v>
      </c>
      <c r="C12" s="2">
        <f t="shared" si="2"/>
        <v>51354.476499999997</v>
      </c>
      <c r="D12" s="3" t="str">
        <f t="shared" si="3"/>
        <v>vis</v>
      </c>
      <c r="E12" s="24">
        <f>VLOOKUP(C12,Active!C$21:E$973,3,FALSE)</f>
        <v>13321.963193256926</v>
      </c>
      <c r="F12" s="4" t="s">
        <v>56</v>
      </c>
      <c r="G12" s="3" t="str">
        <f t="shared" si="4"/>
        <v>51354.4765</v>
      </c>
      <c r="H12" s="2">
        <f t="shared" si="5"/>
        <v>13322</v>
      </c>
      <c r="I12" s="25" t="s">
        <v>114</v>
      </c>
      <c r="J12" s="26" t="s">
        <v>115</v>
      </c>
      <c r="K12" s="25">
        <v>13322</v>
      </c>
      <c r="L12" s="25" t="s">
        <v>116</v>
      </c>
      <c r="M12" s="26" t="s">
        <v>110</v>
      </c>
      <c r="N12" s="26" t="s">
        <v>111</v>
      </c>
      <c r="O12" s="27" t="s">
        <v>112</v>
      </c>
      <c r="P12" s="28" t="s">
        <v>117</v>
      </c>
    </row>
    <row r="13" spans="1:16" ht="12.75" customHeight="1" thickBot="1" x14ac:dyDescent="0.25">
      <c r="A13" s="2" t="str">
        <f t="shared" si="0"/>
        <v>BAVM 152 </v>
      </c>
      <c r="B13" s="4" t="str">
        <f t="shared" si="1"/>
        <v>I</v>
      </c>
      <c r="C13" s="2">
        <f t="shared" si="2"/>
        <v>52094.483399999997</v>
      </c>
      <c r="D13" s="3" t="str">
        <f t="shared" si="3"/>
        <v>vis</v>
      </c>
      <c r="E13" s="24">
        <f>VLOOKUP(C13,Active!C$21:E$973,3,FALSE)</f>
        <v>13893.960300215291</v>
      </c>
      <c r="F13" s="4" t="s">
        <v>56</v>
      </c>
      <c r="G13" s="3" t="str">
        <f t="shared" si="4"/>
        <v>52094.4834</v>
      </c>
      <c r="H13" s="2">
        <f t="shared" si="5"/>
        <v>13894</v>
      </c>
      <c r="I13" s="25" t="s">
        <v>118</v>
      </c>
      <c r="J13" s="26" t="s">
        <v>119</v>
      </c>
      <c r="K13" s="25">
        <v>13894</v>
      </c>
      <c r="L13" s="25" t="s">
        <v>120</v>
      </c>
      <c r="M13" s="26" t="s">
        <v>110</v>
      </c>
      <c r="N13" s="26" t="s">
        <v>111</v>
      </c>
      <c r="O13" s="27" t="s">
        <v>112</v>
      </c>
      <c r="P13" s="28" t="s">
        <v>121</v>
      </c>
    </row>
    <row r="14" spans="1:16" ht="12.75" customHeight="1" thickBot="1" x14ac:dyDescent="0.25">
      <c r="A14" s="2" t="str">
        <f t="shared" si="0"/>
        <v>BAVM 183 </v>
      </c>
      <c r="B14" s="4" t="str">
        <f t="shared" si="1"/>
        <v>I</v>
      </c>
      <c r="C14" s="2">
        <f t="shared" si="2"/>
        <v>53935.448799999998</v>
      </c>
      <c r="D14" s="3" t="str">
        <f t="shared" si="3"/>
        <v>vis</v>
      </c>
      <c r="E14" s="24">
        <f>VLOOKUP(C14,Active!C$21:E$973,3,FALSE)</f>
        <v>15316.956332833974</v>
      </c>
      <c r="F14" s="4" t="s">
        <v>56</v>
      </c>
      <c r="G14" s="3" t="str">
        <f t="shared" si="4"/>
        <v>53935.4488</v>
      </c>
      <c r="H14" s="2">
        <f t="shared" si="5"/>
        <v>15317</v>
      </c>
      <c r="I14" s="25" t="s">
        <v>122</v>
      </c>
      <c r="J14" s="26" t="s">
        <v>123</v>
      </c>
      <c r="K14" s="25">
        <v>15317</v>
      </c>
      <c r="L14" s="25" t="s">
        <v>124</v>
      </c>
      <c r="M14" s="26" t="s">
        <v>125</v>
      </c>
      <c r="N14" s="26" t="s">
        <v>126</v>
      </c>
      <c r="O14" s="27" t="s">
        <v>112</v>
      </c>
      <c r="P14" s="28" t="s">
        <v>127</v>
      </c>
    </row>
    <row r="15" spans="1:16" ht="12.75" customHeight="1" thickBot="1" x14ac:dyDescent="0.25">
      <c r="A15" s="2" t="str">
        <f t="shared" si="0"/>
        <v>BAVM 201 </v>
      </c>
      <c r="B15" s="4" t="str">
        <f t="shared" si="1"/>
        <v>I</v>
      </c>
      <c r="C15" s="2">
        <f t="shared" si="2"/>
        <v>54631.474499999997</v>
      </c>
      <c r="D15" s="3" t="str">
        <f t="shared" si="3"/>
        <v>vis</v>
      </c>
      <c r="E15" s="24">
        <f>VLOOKUP(C15,Active!C$21:E$973,3,FALSE)</f>
        <v>15854.957649806382</v>
      </c>
      <c r="F15" s="4" t="s">
        <v>56</v>
      </c>
      <c r="G15" s="3" t="str">
        <f t="shared" si="4"/>
        <v>54631.4745</v>
      </c>
      <c r="H15" s="2">
        <f t="shared" si="5"/>
        <v>15855</v>
      </c>
      <c r="I15" s="25" t="s">
        <v>128</v>
      </c>
      <c r="J15" s="26" t="s">
        <v>129</v>
      </c>
      <c r="K15" s="25" t="s">
        <v>130</v>
      </c>
      <c r="L15" s="25" t="s">
        <v>131</v>
      </c>
      <c r="M15" s="26" t="s">
        <v>125</v>
      </c>
      <c r="N15" s="26" t="s">
        <v>126</v>
      </c>
      <c r="O15" s="27" t="s">
        <v>112</v>
      </c>
      <c r="P15" s="28" t="s">
        <v>132</v>
      </c>
    </row>
    <row r="16" spans="1:16" ht="12.75" customHeight="1" thickBot="1" x14ac:dyDescent="0.25">
      <c r="A16" s="2" t="str">
        <f t="shared" si="0"/>
        <v>BAVM 220 </v>
      </c>
      <c r="B16" s="4" t="str">
        <f t="shared" si="1"/>
        <v>I</v>
      </c>
      <c r="C16" s="2">
        <f t="shared" si="2"/>
        <v>55741.4836</v>
      </c>
      <c r="D16" s="3" t="str">
        <f t="shared" si="3"/>
        <v>vis</v>
      </c>
      <c r="E16" s="24">
        <f>VLOOKUP(C16,Active!C$21:E$973,3,FALSE)</f>
        <v>16712.952344041612</v>
      </c>
      <c r="F16" s="4" t="s">
        <v>56</v>
      </c>
      <c r="G16" s="3" t="str">
        <f t="shared" si="4"/>
        <v>55741.4836</v>
      </c>
      <c r="H16" s="2">
        <f t="shared" si="5"/>
        <v>16713</v>
      </c>
      <c r="I16" s="25" t="s">
        <v>138</v>
      </c>
      <c r="J16" s="26" t="s">
        <v>139</v>
      </c>
      <c r="K16" s="25" t="s">
        <v>140</v>
      </c>
      <c r="L16" s="25" t="s">
        <v>141</v>
      </c>
      <c r="M16" s="26" t="s">
        <v>125</v>
      </c>
      <c r="N16" s="26" t="s">
        <v>126</v>
      </c>
      <c r="O16" s="27" t="s">
        <v>112</v>
      </c>
      <c r="P16" s="28" t="s">
        <v>142</v>
      </c>
    </row>
    <row r="17" spans="1:16" ht="12.75" customHeight="1" thickBot="1" x14ac:dyDescent="0.25">
      <c r="A17" s="2" t="str">
        <f t="shared" si="0"/>
        <v>BAVM 220 </v>
      </c>
      <c r="B17" s="4" t="str">
        <f t="shared" si="1"/>
        <v>I</v>
      </c>
      <c r="C17" s="2">
        <f t="shared" si="2"/>
        <v>55776.415000000001</v>
      </c>
      <c r="D17" s="3" t="str">
        <f t="shared" si="3"/>
        <v>vis</v>
      </c>
      <c r="E17" s="24">
        <f>VLOOKUP(C17,Active!C$21:E$973,3,FALSE)</f>
        <v>16739.952983822142</v>
      </c>
      <c r="F17" s="4" t="s">
        <v>56</v>
      </c>
      <c r="G17" s="3" t="str">
        <f t="shared" si="4"/>
        <v>55776.4150</v>
      </c>
      <c r="H17" s="2">
        <f t="shared" si="5"/>
        <v>16740</v>
      </c>
      <c r="I17" s="25" t="s">
        <v>143</v>
      </c>
      <c r="J17" s="26" t="s">
        <v>144</v>
      </c>
      <c r="K17" s="25" t="s">
        <v>145</v>
      </c>
      <c r="L17" s="25" t="s">
        <v>146</v>
      </c>
      <c r="M17" s="26" t="s">
        <v>125</v>
      </c>
      <c r="N17" s="26" t="s">
        <v>126</v>
      </c>
      <c r="O17" s="27" t="s">
        <v>112</v>
      </c>
      <c r="P17" s="28" t="s">
        <v>142</v>
      </c>
    </row>
    <row r="18" spans="1:16" ht="12.75" customHeight="1" thickBot="1" x14ac:dyDescent="0.25">
      <c r="A18" s="2" t="str">
        <f t="shared" si="0"/>
        <v>BAVM 232 </v>
      </c>
      <c r="B18" s="4" t="str">
        <f t="shared" si="1"/>
        <v>II</v>
      </c>
      <c r="C18" s="2">
        <f t="shared" si="2"/>
        <v>56179.4133</v>
      </c>
      <c r="D18" s="3" t="str">
        <f t="shared" si="3"/>
        <v>vis</v>
      </c>
      <c r="E18" s="24">
        <f>VLOOKUP(C18,Active!C$21:E$973,3,FALSE)</f>
        <v>17051.455297799403</v>
      </c>
      <c r="F18" s="4" t="s">
        <v>56</v>
      </c>
      <c r="G18" s="3" t="str">
        <f t="shared" si="4"/>
        <v>56179.4133</v>
      </c>
      <c r="H18" s="2">
        <f t="shared" si="5"/>
        <v>17051.5</v>
      </c>
      <c r="I18" s="25" t="s">
        <v>147</v>
      </c>
      <c r="J18" s="26" t="s">
        <v>148</v>
      </c>
      <c r="K18" s="25" t="s">
        <v>149</v>
      </c>
      <c r="L18" s="25" t="s">
        <v>150</v>
      </c>
      <c r="M18" s="26" t="s">
        <v>125</v>
      </c>
      <c r="N18" s="26" t="s">
        <v>126</v>
      </c>
      <c r="O18" s="27" t="s">
        <v>151</v>
      </c>
      <c r="P18" s="28" t="s">
        <v>152</v>
      </c>
    </row>
    <row r="19" spans="1:16" ht="12.75" customHeight="1" thickBot="1" x14ac:dyDescent="0.25">
      <c r="A19" s="2" t="str">
        <f t="shared" si="0"/>
        <v>BAVM 231 </v>
      </c>
      <c r="B19" s="4" t="str">
        <f t="shared" si="1"/>
        <v>I</v>
      </c>
      <c r="C19" s="2">
        <f t="shared" si="2"/>
        <v>56203.344100000002</v>
      </c>
      <c r="D19" s="3" t="str">
        <f t="shared" si="3"/>
        <v>vis</v>
      </c>
      <c r="E19" s="24">
        <f>VLOOKUP(C19,Active!C$21:E$973,3,FALSE)</f>
        <v>17069.952893385605</v>
      </c>
      <c r="F19" s="4" t="s">
        <v>56</v>
      </c>
      <c r="G19" s="3" t="str">
        <f t="shared" si="4"/>
        <v>56203.3441</v>
      </c>
      <c r="H19" s="2">
        <f t="shared" si="5"/>
        <v>17070</v>
      </c>
      <c r="I19" s="25" t="s">
        <v>153</v>
      </c>
      <c r="J19" s="26" t="s">
        <v>154</v>
      </c>
      <c r="K19" s="25" t="s">
        <v>155</v>
      </c>
      <c r="L19" s="25" t="s">
        <v>156</v>
      </c>
      <c r="M19" s="26" t="s">
        <v>125</v>
      </c>
      <c r="N19" s="26" t="s">
        <v>126</v>
      </c>
      <c r="O19" s="27" t="s">
        <v>112</v>
      </c>
      <c r="P19" s="28" t="s">
        <v>157</v>
      </c>
    </row>
    <row r="20" spans="1:16" ht="12.75" customHeight="1" thickBot="1" x14ac:dyDescent="0.25">
      <c r="A20" s="2" t="str">
        <f t="shared" si="0"/>
        <v> AHSB 6.56 </v>
      </c>
      <c r="B20" s="4" t="str">
        <f t="shared" si="1"/>
        <v>II</v>
      </c>
      <c r="C20" s="2">
        <f t="shared" si="2"/>
        <v>28109.41</v>
      </c>
      <c r="D20" s="3" t="str">
        <f t="shared" si="3"/>
        <v>vis</v>
      </c>
      <c r="E20" s="24">
        <f>VLOOKUP(C20,Active!C$21:E$973,3,FALSE)</f>
        <v>-4645.5865539884107</v>
      </c>
      <c r="F20" s="4" t="s">
        <v>56</v>
      </c>
      <c r="G20" s="3" t="str">
        <f t="shared" si="4"/>
        <v>28109.410</v>
      </c>
      <c r="H20" s="2">
        <f t="shared" si="5"/>
        <v>-4645.5</v>
      </c>
      <c r="I20" s="25" t="s">
        <v>58</v>
      </c>
      <c r="J20" s="26" t="s">
        <v>59</v>
      </c>
      <c r="K20" s="25">
        <v>-4645.5</v>
      </c>
      <c r="L20" s="25" t="s">
        <v>60</v>
      </c>
      <c r="M20" s="26" t="s">
        <v>61</v>
      </c>
      <c r="N20" s="26"/>
      <c r="O20" s="27" t="s">
        <v>62</v>
      </c>
      <c r="P20" s="27" t="s">
        <v>63</v>
      </c>
    </row>
    <row r="21" spans="1:16" ht="12.75" customHeight="1" thickBot="1" x14ac:dyDescent="0.25">
      <c r="A21" s="2" t="str">
        <f t="shared" si="0"/>
        <v> AHSB 6.56 </v>
      </c>
      <c r="B21" s="4" t="str">
        <f t="shared" si="1"/>
        <v>I</v>
      </c>
      <c r="C21" s="2">
        <f t="shared" si="2"/>
        <v>28362.446</v>
      </c>
      <c r="D21" s="3" t="str">
        <f t="shared" si="3"/>
        <v>vis</v>
      </c>
      <c r="E21" s="24">
        <f>VLOOKUP(C21,Active!C$21:E$973,3,FALSE)</f>
        <v>-4449.9993777657064</v>
      </c>
      <c r="F21" s="4" t="s">
        <v>56</v>
      </c>
      <c r="G21" s="3" t="str">
        <f t="shared" si="4"/>
        <v>28362.446</v>
      </c>
      <c r="H21" s="2">
        <f t="shared" si="5"/>
        <v>-4450</v>
      </c>
      <c r="I21" s="25" t="s">
        <v>64</v>
      </c>
      <c r="J21" s="26" t="s">
        <v>65</v>
      </c>
      <c r="K21" s="25">
        <v>-4450</v>
      </c>
      <c r="L21" s="25" t="s">
        <v>66</v>
      </c>
      <c r="M21" s="26" t="s">
        <v>61</v>
      </c>
      <c r="N21" s="26"/>
      <c r="O21" s="27" t="s">
        <v>62</v>
      </c>
      <c r="P21" s="27" t="s">
        <v>63</v>
      </c>
    </row>
    <row r="22" spans="1:16" ht="12.75" customHeight="1" thickBot="1" x14ac:dyDescent="0.25">
      <c r="A22" s="2" t="str">
        <f t="shared" si="0"/>
        <v> AHSB 6.56 </v>
      </c>
      <c r="B22" s="4" t="str">
        <f t="shared" si="1"/>
        <v>I</v>
      </c>
      <c r="C22" s="2">
        <f t="shared" si="2"/>
        <v>28419.37</v>
      </c>
      <c r="D22" s="3" t="str">
        <f t="shared" si="3"/>
        <v>vis</v>
      </c>
      <c r="E22" s="24">
        <f>VLOOKUP(C22,Active!C$21:E$973,3,FALSE)</f>
        <v>-4405.9992970684898</v>
      </c>
      <c r="F22" s="4" t="s">
        <v>56</v>
      </c>
      <c r="G22" s="3" t="str">
        <f t="shared" si="4"/>
        <v>28419.370</v>
      </c>
      <c r="H22" s="2">
        <f t="shared" si="5"/>
        <v>-4406</v>
      </c>
      <c r="I22" s="25" t="s">
        <v>67</v>
      </c>
      <c r="J22" s="26" t="s">
        <v>68</v>
      </c>
      <c r="K22" s="25">
        <v>-4406</v>
      </c>
      <c r="L22" s="25" t="s">
        <v>66</v>
      </c>
      <c r="M22" s="26" t="s">
        <v>61</v>
      </c>
      <c r="N22" s="26"/>
      <c r="O22" s="27" t="s">
        <v>62</v>
      </c>
      <c r="P22" s="27" t="s">
        <v>63</v>
      </c>
    </row>
    <row r="23" spans="1:16" ht="12.75" customHeight="1" thickBot="1" x14ac:dyDescent="0.25">
      <c r="A23" s="2" t="str">
        <f t="shared" si="0"/>
        <v> AHSB 6.56 </v>
      </c>
      <c r="B23" s="4" t="str">
        <f t="shared" si="1"/>
        <v>I</v>
      </c>
      <c r="C23" s="2">
        <f t="shared" si="2"/>
        <v>28428.400000000001</v>
      </c>
      <c r="D23" s="3" t="str">
        <f t="shared" si="3"/>
        <v>vis</v>
      </c>
      <c r="E23" s="24">
        <f>VLOOKUP(C23,Active!C$21:E$973,3,FALSE)</f>
        <v>-4399.0194515078119</v>
      </c>
      <c r="F23" s="4" t="s">
        <v>56</v>
      </c>
      <c r="G23" s="3" t="str">
        <f t="shared" si="4"/>
        <v>28428.400</v>
      </c>
      <c r="H23" s="2">
        <f t="shared" si="5"/>
        <v>-4399</v>
      </c>
      <c r="I23" s="25" t="s">
        <v>69</v>
      </c>
      <c r="J23" s="26" t="s">
        <v>70</v>
      </c>
      <c r="K23" s="25">
        <v>-4399</v>
      </c>
      <c r="L23" s="25" t="s">
        <v>71</v>
      </c>
      <c r="M23" s="26" t="s">
        <v>61</v>
      </c>
      <c r="N23" s="26"/>
      <c r="O23" s="27" t="s">
        <v>62</v>
      </c>
      <c r="P23" s="27" t="s">
        <v>63</v>
      </c>
    </row>
    <row r="24" spans="1:16" ht="12.75" customHeight="1" thickBot="1" x14ac:dyDescent="0.25">
      <c r="A24" s="2" t="str">
        <f t="shared" si="0"/>
        <v> AHSB 6.56 </v>
      </c>
      <c r="B24" s="4" t="str">
        <f t="shared" si="1"/>
        <v>I</v>
      </c>
      <c r="C24" s="2">
        <f t="shared" si="2"/>
        <v>28859.216</v>
      </c>
      <c r="D24" s="3" t="str">
        <f t="shared" si="3"/>
        <v>vis</v>
      </c>
      <c r="E24" s="24">
        <f>VLOOKUP(C24,Active!C$21:E$973,3,FALSE)</f>
        <v>-4066.0151165058355</v>
      </c>
      <c r="F24" s="4" t="s">
        <v>56</v>
      </c>
      <c r="G24" s="3" t="str">
        <f t="shared" si="4"/>
        <v>28859.216</v>
      </c>
      <c r="H24" s="2">
        <f t="shared" si="5"/>
        <v>-4066</v>
      </c>
      <c r="I24" s="25" t="s">
        <v>72</v>
      </c>
      <c r="J24" s="26" t="s">
        <v>73</v>
      </c>
      <c r="K24" s="25">
        <v>-4066</v>
      </c>
      <c r="L24" s="25" t="s">
        <v>74</v>
      </c>
      <c r="M24" s="26" t="s">
        <v>61</v>
      </c>
      <c r="N24" s="26"/>
      <c r="O24" s="27" t="s">
        <v>62</v>
      </c>
      <c r="P24" s="27" t="s">
        <v>63</v>
      </c>
    </row>
    <row r="25" spans="1:16" ht="12.75" customHeight="1" thickBot="1" x14ac:dyDescent="0.25">
      <c r="A25" s="2" t="str">
        <f t="shared" si="0"/>
        <v> AHSB 6.56 </v>
      </c>
      <c r="B25" s="4" t="str">
        <f t="shared" si="1"/>
        <v>I</v>
      </c>
      <c r="C25" s="2">
        <f t="shared" si="2"/>
        <v>29216.249</v>
      </c>
      <c r="D25" s="3" t="str">
        <f t="shared" si="3"/>
        <v>vis</v>
      </c>
      <c r="E25" s="24">
        <f>VLOOKUP(C25,Active!C$21:E$973,3,FALSE)</f>
        <v>-3790.0422261332383</v>
      </c>
      <c r="F25" s="4" t="s">
        <v>56</v>
      </c>
      <c r="G25" s="3" t="str">
        <f t="shared" si="4"/>
        <v>29216.249</v>
      </c>
      <c r="H25" s="2">
        <f t="shared" si="5"/>
        <v>-3790</v>
      </c>
      <c r="I25" s="25" t="s">
        <v>75</v>
      </c>
      <c r="J25" s="26" t="s">
        <v>76</v>
      </c>
      <c r="K25" s="25">
        <v>-3790</v>
      </c>
      <c r="L25" s="25" t="s">
        <v>77</v>
      </c>
      <c r="M25" s="26" t="s">
        <v>61</v>
      </c>
      <c r="N25" s="26"/>
      <c r="O25" s="27" t="s">
        <v>62</v>
      </c>
      <c r="P25" s="27" t="s">
        <v>63</v>
      </c>
    </row>
    <row r="26" spans="1:16" ht="12.75" customHeight="1" thickBot="1" x14ac:dyDescent="0.25">
      <c r="A26" s="2" t="str">
        <f t="shared" si="0"/>
        <v> AHSB 6.56 </v>
      </c>
      <c r="B26" s="4" t="str">
        <f t="shared" si="1"/>
        <v>I</v>
      </c>
      <c r="C26" s="2">
        <f t="shared" si="2"/>
        <v>29251.296999999999</v>
      </c>
      <c r="D26" s="3" t="str">
        <f t="shared" si="3"/>
        <v>vis</v>
      </c>
      <c r="E26" s="24">
        <f>VLOOKUP(C26,Active!C$21:E$973,3,FALSE)</f>
        <v>-3762.9514590002882</v>
      </c>
      <c r="F26" s="4" t="s">
        <v>56</v>
      </c>
      <c r="G26" s="3" t="str">
        <f t="shared" si="4"/>
        <v>29251.297</v>
      </c>
      <c r="H26" s="2">
        <f t="shared" si="5"/>
        <v>-3763</v>
      </c>
      <c r="I26" s="25" t="s">
        <v>78</v>
      </c>
      <c r="J26" s="26" t="s">
        <v>79</v>
      </c>
      <c r="K26" s="25">
        <v>-3763</v>
      </c>
      <c r="L26" s="25" t="s">
        <v>80</v>
      </c>
      <c r="M26" s="26" t="s">
        <v>61</v>
      </c>
      <c r="N26" s="26"/>
      <c r="O26" s="27" t="s">
        <v>62</v>
      </c>
      <c r="P26" s="27" t="s">
        <v>63</v>
      </c>
    </row>
    <row r="27" spans="1:16" ht="12.75" customHeight="1" thickBot="1" x14ac:dyDescent="0.25">
      <c r="A27" s="2" t="str">
        <f t="shared" si="0"/>
        <v> AHSB 6.56 </v>
      </c>
      <c r="B27" s="4" t="str">
        <f t="shared" si="1"/>
        <v>I</v>
      </c>
      <c r="C27" s="2">
        <f t="shared" si="2"/>
        <v>32797.381999999998</v>
      </c>
      <c r="D27" s="3" t="str">
        <f t="shared" si="3"/>
        <v>vis</v>
      </c>
      <c r="E27" s="24">
        <f>VLOOKUP(C27,Active!C$21:E$973,3,FALSE)</f>
        <v>-1021.9630154757034</v>
      </c>
      <c r="F27" s="4" t="s">
        <v>56</v>
      </c>
      <c r="G27" s="3" t="str">
        <f t="shared" si="4"/>
        <v>32797.382</v>
      </c>
      <c r="H27" s="2">
        <f t="shared" si="5"/>
        <v>-1022</v>
      </c>
      <c r="I27" s="25" t="s">
        <v>81</v>
      </c>
      <c r="J27" s="26" t="s">
        <v>82</v>
      </c>
      <c r="K27" s="25">
        <v>-1022</v>
      </c>
      <c r="L27" s="25" t="s">
        <v>83</v>
      </c>
      <c r="M27" s="26" t="s">
        <v>61</v>
      </c>
      <c r="N27" s="26"/>
      <c r="O27" s="27" t="s">
        <v>62</v>
      </c>
      <c r="P27" s="27" t="s">
        <v>63</v>
      </c>
    </row>
    <row r="28" spans="1:16" ht="12.75" customHeight="1" thickBot="1" x14ac:dyDescent="0.25">
      <c r="A28" s="2" t="str">
        <f t="shared" si="0"/>
        <v> AHSB 6.56 </v>
      </c>
      <c r="B28" s="4" t="str">
        <f t="shared" si="1"/>
        <v>I</v>
      </c>
      <c r="C28" s="2">
        <f t="shared" si="2"/>
        <v>34119.525000000001</v>
      </c>
      <c r="D28" s="3" t="str">
        <f t="shared" si="3"/>
        <v>vis</v>
      </c>
      <c r="E28" s="24">
        <f>VLOOKUP(C28,Active!C$21:E$973,3,FALSE)</f>
        <v>3.0918474250707451E-3</v>
      </c>
      <c r="F28" s="4" t="s">
        <v>56</v>
      </c>
      <c r="G28" s="3" t="str">
        <f t="shared" si="4"/>
        <v>34119.525</v>
      </c>
      <c r="H28" s="2">
        <f t="shared" si="5"/>
        <v>0</v>
      </c>
      <c r="I28" s="25" t="s">
        <v>84</v>
      </c>
      <c r="J28" s="26" t="s">
        <v>85</v>
      </c>
      <c r="K28" s="25">
        <v>0</v>
      </c>
      <c r="L28" s="25" t="s">
        <v>86</v>
      </c>
      <c r="M28" s="26" t="s">
        <v>61</v>
      </c>
      <c r="N28" s="26"/>
      <c r="O28" s="27" t="s">
        <v>62</v>
      </c>
      <c r="P28" s="27" t="s">
        <v>63</v>
      </c>
    </row>
    <row r="29" spans="1:16" ht="12.75" customHeight="1" thickBot="1" x14ac:dyDescent="0.25">
      <c r="A29" s="2" t="str">
        <f t="shared" si="0"/>
        <v> AHSB 6.56 </v>
      </c>
      <c r="B29" s="4" t="str">
        <f t="shared" si="1"/>
        <v>I</v>
      </c>
      <c r="C29" s="2">
        <f t="shared" si="2"/>
        <v>34132.504999999997</v>
      </c>
      <c r="D29" s="3" t="str">
        <f t="shared" si="3"/>
        <v>vis</v>
      </c>
      <c r="E29" s="24">
        <f>VLOOKUP(C29,Active!C$21:E$973,3,FALSE)</f>
        <v>10.036136739732489</v>
      </c>
      <c r="F29" s="4" t="s">
        <v>56</v>
      </c>
      <c r="G29" s="3" t="str">
        <f t="shared" si="4"/>
        <v>34132.505</v>
      </c>
      <c r="H29" s="2">
        <f t="shared" si="5"/>
        <v>10</v>
      </c>
      <c r="I29" s="25" t="s">
        <v>87</v>
      </c>
      <c r="J29" s="26" t="s">
        <v>88</v>
      </c>
      <c r="K29" s="25">
        <v>10</v>
      </c>
      <c r="L29" s="25" t="s">
        <v>89</v>
      </c>
      <c r="M29" s="26" t="s">
        <v>61</v>
      </c>
      <c r="N29" s="26"/>
      <c r="O29" s="27" t="s">
        <v>62</v>
      </c>
      <c r="P29" s="27" t="s">
        <v>63</v>
      </c>
    </row>
    <row r="30" spans="1:16" ht="12.75" customHeight="1" thickBot="1" x14ac:dyDescent="0.25">
      <c r="A30" s="2" t="str">
        <f t="shared" si="0"/>
        <v> AHSB 6.56 </v>
      </c>
      <c r="B30" s="4" t="str">
        <f t="shared" si="1"/>
        <v>I</v>
      </c>
      <c r="C30" s="2">
        <f t="shared" si="2"/>
        <v>34150.296000000002</v>
      </c>
      <c r="D30" s="3" t="str">
        <f t="shared" si="3"/>
        <v>vis</v>
      </c>
      <c r="E30" s="24">
        <f>VLOOKUP(C30,Active!C$21:E$973,3,FALSE)</f>
        <v>23.787901121792938</v>
      </c>
      <c r="F30" s="4" t="s">
        <v>56</v>
      </c>
      <c r="G30" s="3" t="str">
        <f t="shared" si="4"/>
        <v>34150.296</v>
      </c>
      <c r="H30" s="2">
        <f t="shared" si="5"/>
        <v>24</v>
      </c>
      <c r="I30" s="25" t="s">
        <v>90</v>
      </c>
      <c r="J30" s="26" t="s">
        <v>91</v>
      </c>
      <c r="K30" s="25">
        <v>24</v>
      </c>
      <c r="L30" s="25" t="s">
        <v>92</v>
      </c>
      <c r="M30" s="26" t="s">
        <v>61</v>
      </c>
      <c r="N30" s="26"/>
      <c r="O30" s="27" t="s">
        <v>62</v>
      </c>
      <c r="P30" s="27" t="s">
        <v>63</v>
      </c>
    </row>
    <row r="31" spans="1:16" ht="12.75" customHeight="1" thickBot="1" x14ac:dyDescent="0.25">
      <c r="A31" s="2" t="str">
        <f t="shared" si="0"/>
        <v> AHSB 6.56 </v>
      </c>
      <c r="B31" s="4" t="str">
        <f t="shared" si="1"/>
        <v>I</v>
      </c>
      <c r="C31" s="2">
        <f t="shared" si="2"/>
        <v>34947.472999999998</v>
      </c>
      <c r="D31" s="3" t="str">
        <f t="shared" si="3"/>
        <v>vis</v>
      </c>
      <c r="E31" s="24">
        <f>VLOOKUP(C31,Active!C$21:E$973,3,FALSE)</f>
        <v>639.97531469016133</v>
      </c>
      <c r="F31" s="4" t="s">
        <v>56</v>
      </c>
      <c r="G31" s="3" t="str">
        <f t="shared" si="4"/>
        <v>34947.473</v>
      </c>
      <c r="H31" s="2">
        <f t="shared" si="5"/>
        <v>640</v>
      </c>
      <c r="I31" s="25" t="s">
        <v>93</v>
      </c>
      <c r="J31" s="26" t="s">
        <v>94</v>
      </c>
      <c r="K31" s="25">
        <v>640</v>
      </c>
      <c r="L31" s="25" t="s">
        <v>95</v>
      </c>
      <c r="M31" s="26" t="s">
        <v>61</v>
      </c>
      <c r="N31" s="26"/>
      <c r="O31" s="27" t="s">
        <v>62</v>
      </c>
      <c r="P31" s="27" t="s">
        <v>63</v>
      </c>
    </row>
    <row r="32" spans="1:16" ht="12.75" customHeight="1" thickBot="1" x14ac:dyDescent="0.25">
      <c r="A32" s="2" t="str">
        <f t="shared" si="0"/>
        <v> AHSB 6.56 </v>
      </c>
      <c r="B32" s="4" t="str">
        <f t="shared" si="1"/>
        <v>I</v>
      </c>
      <c r="C32" s="2">
        <f t="shared" si="2"/>
        <v>35074.29</v>
      </c>
      <c r="D32" s="3" t="str">
        <f t="shared" si="3"/>
        <v>vis</v>
      </c>
      <c r="E32" s="24">
        <f>VLOOKUP(C32,Active!C$21:E$973,3,FALSE)</f>
        <v>738.00001839649235</v>
      </c>
      <c r="F32" s="4" t="s">
        <v>56</v>
      </c>
      <c r="G32" s="3" t="str">
        <f t="shared" si="4"/>
        <v>35074.290</v>
      </c>
      <c r="H32" s="2">
        <f t="shared" si="5"/>
        <v>738</v>
      </c>
      <c r="I32" s="25" t="s">
        <v>96</v>
      </c>
      <c r="J32" s="26" t="s">
        <v>97</v>
      </c>
      <c r="K32" s="25">
        <v>738</v>
      </c>
      <c r="L32" s="25" t="s">
        <v>98</v>
      </c>
      <c r="M32" s="26" t="s">
        <v>61</v>
      </c>
      <c r="N32" s="26"/>
      <c r="O32" s="27" t="s">
        <v>62</v>
      </c>
      <c r="P32" s="27" t="s">
        <v>63</v>
      </c>
    </row>
    <row r="33" spans="1:16" ht="12.75" customHeight="1" thickBot="1" x14ac:dyDescent="0.25">
      <c r="A33" s="2" t="str">
        <f t="shared" si="0"/>
        <v> AHSB 6.56 </v>
      </c>
      <c r="B33" s="4" t="str">
        <f t="shared" si="1"/>
        <v>I</v>
      </c>
      <c r="C33" s="2">
        <f t="shared" si="2"/>
        <v>35317.523000000001</v>
      </c>
      <c r="D33" s="3" t="str">
        <f t="shared" si="3"/>
        <v>vis</v>
      </c>
      <c r="E33" s="24">
        <f>VLOOKUP(C33,Active!C$21:E$973,3,FALSE)</f>
        <v>926.00984954374803</v>
      </c>
      <c r="F33" s="4" t="s">
        <v>56</v>
      </c>
      <c r="G33" s="3" t="str">
        <f t="shared" si="4"/>
        <v>35317.523</v>
      </c>
      <c r="H33" s="2">
        <f t="shared" si="5"/>
        <v>926</v>
      </c>
      <c r="I33" s="25" t="s">
        <v>99</v>
      </c>
      <c r="J33" s="26" t="s">
        <v>100</v>
      </c>
      <c r="K33" s="25">
        <v>926</v>
      </c>
      <c r="L33" s="25" t="s">
        <v>101</v>
      </c>
      <c r="M33" s="26" t="s">
        <v>61</v>
      </c>
      <c r="N33" s="26"/>
      <c r="O33" s="27" t="s">
        <v>62</v>
      </c>
      <c r="P33" s="27" t="s">
        <v>63</v>
      </c>
    </row>
    <row r="34" spans="1:16" ht="12.75" customHeight="1" thickBot="1" x14ac:dyDescent="0.25">
      <c r="A34" s="2" t="str">
        <f t="shared" si="0"/>
        <v> AHSB 6.56 </v>
      </c>
      <c r="B34" s="4" t="str">
        <f t="shared" si="1"/>
        <v>I</v>
      </c>
      <c r="C34" s="2">
        <f t="shared" si="2"/>
        <v>35370.533000000003</v>
      </c>
      <c r="D34" s="3" t="str">
        <f t="shared" si="3"/>
        <v>vis</v>
      </c>
      <c r="E34" s="24">
        <f>VLOOKUP(C34,Active!C$21:E$973,3,FALSE)</f>
        <v>966.98455753615201</v>
      </c>
      <c r="F34" s="4" t="s">
        <v>56</v>
      </c>
      <c r="G34" s="3" t="str">
        <f t="shared" si="4"/>
        <v>35370.533</v>
      </c>
      <c r="H34" s="2">
        <f t="shared" si="5"/>
        <v>967</v>
      </c>
      <c r="I34" s="25" t="s">
        <v>102</v>
      </c>
      <c r="J34" s="26" t="s">
        <v>103</v>
      </c>
      <c r="K34" s="25">
        <v>967</v>
      </c>
      <c r="L34" s="25" t="s">
        <v>74</v>
      </c>
      <c r="M34" s="26" t="s">
        <v>61</v>
      </c>
      <c r="N34" s="26"/>
      <c r="O34" s="27" t="s">
        <v>62</v>
      </c>
      <c r="P34" s="27" t="s">
        <v>63</v>
      </c>
    </row>
    <row r="35" spans="1:16" ht="12.75" customHeight="1" thickBot="1" x14ac:dyDescent="0.25">
      <c r="A35" s="2" t="str">
        <f t="shared" si="0"/>
        <v> AHSB 6.56 </v>
      </c>
      <c r="B35" s="4" t="str">
        <f t="shared" si="1"/>
        <v>I</v>
      </c>
      <c r="C35" s="2">
        <f t="shared" si="2"/>
        <v>35374.444000000003</v>
      </c>
      <c r="D35" s="3" t="str">
        <f t="shared" si="3"/>
        <v>vis</v>
      </c>
      <c r="E35" s="24">
        <f>VLOOKUP(C35,Active!C$21:E$973,3,FALSE)</f>
        <v>970.00761135539904</v>
      </c>
      <c r="F35" s="4" t="s">
        <v>56</v>
      </c>
      <c r="G35" s="3" t="str">
        <f t="shared" si="4"/>
        <v>35374.444</v>
      </c>
      <c r="H35" s="2">
        <f t="shared" si="5"/>
        <v>970</v>
      </c>
      <c r="I35" s="25" t="s">
        <v>104</v>
      </c>
      <c r="J35" s="26" t="s">
        <v>105</v>
      </c>
      <c r="K35" s="25">
        <v>970</v>
      </c>
      <c r="L35" s="25" t="s">
        <v>106</v>
      </c>
      <c r="M35" s="26" t="s">
        <v>61</v>
      </c>
      <c r="N35" s="26"/>
      <c r="O35" s="27" t="s">
        <v>62</v>
      </c>
      <c r="P35" s="27" t="s">
        <v>63</v>
      </c>
    </row>
    <row r="36" spans="1:16" ht="12.75" customHeight="1" thickBot="1" x14ac:dyDescent="0.25">
      <c r="A36" s="2" t="str">
        <f t="shared" si="0"/>
        <v>BAVM 203 </v>
      </c>
      <c r="B36" s="4" t="str">
        <f t="shared" si="1"/>
        <v>I</v>
      </c>
      <c r="C36" s="2">
        <f t="shared" si="2"/>
        <v>54697.452599999997</v>
      </c>
      <c r="D36" s="3" t="str">
        <f t="shared" si="3"/>
        <v>vis</v>
      </c>
      <c r="E36" s="24">
        <f>VLOOKUP(C36,Active!C$21:E$973,3,FALSE)</f>
        <v>15905.956204445007</v>
      </c>
      <c r="F36" s="4" t="s">
        <v>56</v>
      </c>
      <c r="G36" s="3" t="str">
        <f t="shared" si="4"/>
        <v>54697.4526</v>
      </c>
      <c r="H36" s="2">
        <f t="shared" si="5"/>
        <v>15906</v>
      </c>
      <c r="I36" s="25" t="s">
        <v>133</v>
      </c>
      <c r="J36" s="26" t="s">
        <v>134</v>
      </c>
      <c r="K36" s="25" t="s">
        <v>135</v>
      </c>
      <c r="L36" s="25" t="s">
        <v>136</v>
      </c>
      <c r="M36" s="26" t="s">
        <v>125</v>
      </c>
      <c r="N36" s="26" t="s">
        <v>126</v>
      </c>
      <c r="O36" s="27" t="s">
        <v>112</v>
      </c>
      <c r="P36" s="28" t="s">
        <v>137</v>
      </c>
    </row>
    <row r="37" spans="1:16" x14ac:dyDescent="0.2">
      <c r="B37" s="4"/>
      <c r="E37" s="24"/>
      <c r="F37" s="4"/>
    </row>
    <row r="38" spans="1:16" x14ac:dyDescent="0.2">
      <c r="B38" s="4"/>
      <c r="E38" s="24"/>
      <c r="F38" s="4"/>
    </row>
    <row r="39" spans="1:16" x14ac:dyDescent="0.2">
      <c r="B39" s="4"/>
      <c r="E39" s="24"/>
      <c r="F39" s="4"/>
    </row>
    <row r="40" spans="1:16" x14ac:dyDescent="0.2">
      <c r="B40" s="4"/>
      <c r="E40" s="24"/>
      <c r="F40" s="4"/>
    </row>
    <row r="41" spans="1:16" x14ac:dyDescent="0.2">
      <c r="B41" s="4"/>
      <c r="E41" s="24"/>
      <c r="F41" s="4"/>
    </row>
    <row r="42" spans="1:16" x14ac:dyDescent="0.2">
      <c r="B42" s="4"/>
      <c r="E42" s="24"/>
      <c r="F42" s="4"/>
    </row>
    <row r="43" spans="1:16" x14ac:dyDescent="0.2">
      <c r="B43" s="4"/>
      <c r="E43" s="24"/>
      <c r="F43" s="4"/>
    </row>
    <row r="44" spans="1:16" x14ac:dyDescent="0.2">
      <c r="B44" s="4"/>
      <c r="E44" s="24"/>
      <c r="F44" s="4"/>
    </row>
    <row r="45" spans="1:16" x14ac:dyDescent="0.2">
      <c r="B45" s="4"/>
      <c r="E45" s="24"/>
      <c r="F45" s="4"/>
    </row>
    <row r="46" spans="1:16" x14ac:dyDescent="0.2">
      <c r="B46" s="4"/>
      <c r="E46" s="24"/>
      <c r="F46" s="4"/>
    </row>
    <row r="47" spans="1:16" x14ac:dyDescent="0.2">
      <c r="B47" s="4"/>
      <c r="E47" s="24"/>
      <c r="F47" s="4"/>
    </row>
    <row r="48" spans="1:16" x14ac:dyDescent="0.2">
      <c r="B48" s="4"/>
      <c r="E48" s="24"/>
      <c r="F48" s="4"/>
    </row>
    <row r="49" spans="2:6" x14ac:dyDescent="0.2">
      <c r="B49" s="4"/>
      <c r="E49" s="24"/>
      <c r="F49" s="4"/>
    </row>
    <row r="50" spans="2:6" x14ac:dyDescent="0.2">
      <c r="B50" s="4"/>
      <c r="E50" s="24"/>
      <c r="F50" s="4"/>
    </row>
    <row r="51" spans="2:6" x14ac:dyDescent="0.2">
      <c r="B51" s="4"/>
      <c r="E51" s="24"/>
      <c r="F51" s="4"/>
    </row>
    <row r="52" spans="2:6" x14ac:dyDescent="0.2">
      <c r="B52" s="4"/>
      <c r="E52" s="2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</sheetData>
  <phoneticPr fontId="7" type="noConversion"/>
  <hyperlinks>
    <hyperlink ref="P11" r:id="rId1" display="http://www.bav-astro.de/sfs/BAVM_link.php?BAVMnr=118" xr:uid="{00000000-0004-0000-0100-000000000000}"/>
    <hyperlink ref="P12" r:id="rId2" display="http://www.bav-astro.de/sfs/BAVM_link.php?BAVMnr=133" xr:uid="{00000000-0004-0000-0100-000001000000}"/>
    <hyperlink ref="P13" r:id="rId3" display="http://www.bav-astro.de/sfs/BAVM_link.php?BAVMnr=152" xr:uid="{00000000-0004-0000-0100-000002000000}"/>
    <hyperlink ref="P14" r:id="rId4" display="http://www.bav-astro.de/sfs/BAVM_link.php?BAVMnr=183" xr:uid="{00000000-0004-0000-0100-000003000000}"/>
    <hyperlink ref="P15" r:id="rId5" display="http://www.bav-astro.de/sfs/BAVM_link.php?BAVMnr=201" xr:uid="{00000000-0004-0000-0100-000004000000}"/>
    <hyperlink ref="P36" r:id="rId6" display="http://www.bav-astro.de/sfs/BAVM_link.php?BAVMnr=203" xr:uid="{00000000-0004-0000-0100-000005000000}"/>
    <hyperlink ref="P16" r:id="rId7" display="http://www.bav-astro.de/sfs/BAVM_link.php?BAVMnr=220" xr:uid="{00000000-0004-0000-0100-000006000000}"/>
    <hyperlink ref="P17" r:id="rId8" display="http://www.bav-astro.de/sfs/BAVM_link.php?BAVMnr=220" xr:uid="{00000000-0004-0000-0100-000007000000}"/>
    <hyperlink ref="P18" r:id="rId9" display="http://www.bav-astro.de/sfs/BAVM_link.php?BAVMnr=232" xr:uid="{00000000-0004-0000-0100-000008000000}"/>
    <hyperlink ref="P19" r:id="rId10" display="http://www.bav-astro.de/sfs/BAVM_link.php?BAVMnr=231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2024-07-27T08:15:58Z</dcterms:modified>
</cp:coreProperties>
</file>