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6D76B90-487B-432E-921D-ACBE5AB1F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Q22" i="1"/>
  <c r="Q23" i="1"/>
  <c r="Q24" i="1"/>
  <c r="Q25" i="1"/>
  <c r="Q26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21" i="1"/>
  <c r="F21" i="1"/>
  <c r="G21" i="1"/>
  <c r="H21" i="1"/>
  <c r="E9" i="1"/>
  <c r="F14" i="1"/>
  <c r="F15" i="1" s="1"/>
  <c r="C17" i="1"/>
  <c r="Q21" i="1"/>
  <c r="C11" i="1"/>
  <c r="C12" i="1"/>
  <c r="C16" i="1" l="1"/>
  <c r="D18" i="1" s="1"/>
  <c r="O25" i="1"/>
  <c r="O26" i="1"/>
  <c r="O21" i="1"/>
  <c r="O23" i="1"/>
  <c r="O22" i="1"/>
  <c r="C15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<sst xmlns="http://schemas.openxmlformats.org/spreadsheetml/2006/main" count="117" uniqueCount="86">
  <si>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</si>
  <si>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</si>
  <si>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</si>
  <si>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</si>
  <si>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</si>
  <si>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</si>
  <si>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</si>
  <si>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</si>
  <si>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</si>
  <si>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</si>
  <si>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</si>
  <si>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</si>
  <si>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</si>
  <si>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</si>
  <si>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</si>
  <si>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</si>
  <si>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</si>
  <si>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</si>
  <si>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</si>
  <si>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</si>
  <si>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</si>
  <si>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</si>
  <si>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</si>
  <si>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</si>
  <si>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</si>
  <si>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</si>
  <si>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</si>
  <si>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</si>
  <si>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</si>
  <si>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</si>
  <si>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</si>
  <si>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</si>
  <si>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</si>
  <si>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</si>
  <si>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</si>
  <si>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</si>
  <si>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</si>
  <si>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</si>
  <si>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</si>
  <si>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</si>
  <si>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</si>
  <si>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</si>
  <si>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</si>
  <si>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</si>
  <si>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</si>
  <si>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</si>
  <si>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</si>
  <si>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</si>
  <si>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QS Vul</t>
  </si>
  <si>
    <t>EA/GS</t>
  </si>
  <si>
    <t>QS Vul / GSC 45942.3</t>
  </si>
  <si>
    <t>VSX</t>
  </si>
  <si>
    <t>2445442.2 </t>
  </si>
  <si>
    <t> 17.04.1983 16:48 </t>
  </si>
  <si>
    <t> 0.0 </t>
  </si>
  <si>
    <t>E </t>
  </si>
  <si>
    <t>?</t>
  </si>
  <si>
    <t>  </t>
  </si>
  <si>
    <t> GCVS </t>
  </si>
  <si>
    <t>2445942.90 </t>
  </si>
  <si>
    <t> 30.08.1984 09:36 </t>
  </si>
  <si>
    <t> 0.20 </t>
  </si>
  <si>
    <t> M.Fernandes </t>
  </si>
  <si>
    <t>BAVM 46 </t>
  </si>
  <si>
    <t>2447437.05 </t>
  </si>
  <si>
    <t> 02.10.1988 13:12 </t>
  </si>
  <si>
    <t> 0.35 </t>
  </si>
  <si>
    <t>B;V</t>
  </si>
  <si>
    <t> F.Agerer </t>
  </si>
  <si>
    <t>BAVM 52 </t>
  </si>
  <si>
    <t>2447437.09 </t>
  </si>
  <si>
    <t> 02.10.1988 14:09 </t>
  </si>
  <si>
    <t> 0.39 </t>
  </si>
  <si>
    <t> R.E.Griffin et al. </t>
  </si>
  <si>
    <t> AAP 274.225 </t>
  </si>
  <si>
    <t>2448184.94 </t>
  </si>
  <si>
    <t> 20.10.1990 10:33 </t>
  </si>
  <si>
    <t> 0.24 </t>
  </si>
  <si>
    <t> R.Nolthenius </t>
  </si>
  <si>
    <t>IBVS 3587 </t>
  </si>
  <si>
    <t>I</t>
  </si>
  <si>
    <t>II</t>
  </si>
  <si>
    <t xml:space="preserve">Mag </t>
  </si>
  <si>
    <t>5.15 (0.12)</t>
  </si>
  <si>
    <t>Next ToM-S</t>
  </si>
  <si>
    <t>Next ToM-P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</si>
</sst>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1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6" fillId="5" borderId="13" xfId="0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22" fontId="8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Vul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421052631578946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-1.9340000000083819</c:v>
                </c:pt>
                <c:pt idx="2">
                  <c:v>0.59999999999854481</c:v>
                </c:pt>
                <c:pt idx="3">
                  <c:v>0.25200000000040745</c:v>
                </c:pt>
                <c:pt idx="4">
                  <c:v>0.29199999999400461</c:v>
                </c:pt>
                <c:pt idx="5">
                  <c:v>0.89299999999639113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21-4356-ABD4-D2C7F1012E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21-4356-ABD4-D2C7F1012E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21-4356-ABD4-D2C7F1012E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21-4356-ABD4-D2C7F1012E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21-4356-ABD4-D2C7F1012E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21-4356-ABD4-D2C7F1012E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21-4356-ABD4-D2C7F1012E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-0.46822719449578765</c:v>
                </c:pt>
                <c:pt idx="1">
                  <c:v>-0.77479173838586046</c:v>
                </c:pt>
                <c:pt idx="2">
                  <c:v>-0.46822719449578765</c:v>
                </c:pt>
                <c:pt idx="3">
                  <c:v>0.45146643717443102</c:v>
                </c:pt>
                <c:pt idx="4">
                  <c:v>0.45146643717443102</c:v>
                </c:pt>
                <c:pt idx="5">
                  <c:v>0.91131325300954025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21-4356-ABD4-D2C7F1012E7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21-4356-ABD4-D2C7F1012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492176"/>
        <c:axId val="1"/>
      </c:scatterChart>
      <c:valAx>
        <c:axId val="73549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492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AAC450-D03A-5DF6-A862-5125BD7DB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52" TargetMode="External"/><Relationship Id="rId2" Type="http://schemas.openxmlformats.org/officeDocument/2006/relationships/hyperlink" Target="http://www.bav-astro.de/sfs/BAVM_link.php?BAVMnr=46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konkoly.hu/cgi-bin/IBVS?35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4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5" customFormat="1" ht="20.25" x14ac:dyDescent="0.2">
      <c r="A1" s="49" t="s">
        <v>50</v>
      </c>
      <c r="F1" s="4" t="s">
        <v>48</v>
      </c>
      <c r="G1" s="5">
        <v>20.153020000000001</v>
      </c>
      <c r="H1" s="6">
        <v>23.3032</v>
      </c>
      <c r="I1" s="7">
        <v>45942.3</v>
      </c>
      <c r="J1" s="8">
        <v>249.083</v>
      </c>
      <c r="K1" s="9" t="s">
        <v>49</v>
      </c>
      <c r="L1" s="10"/>
      <c r="M1" s="11">
        <v>45942.3</v>
      </c>
      <c r="N1" s="11">
        <v>249.083</v>
      </c>
      <c r="O1" s="10" t="s">
        <v>49</v>
      </c>
    </row>
    <row r="2" spans="1:15" s="25" customFormat="1" ht="12.95" customHeight="1" x14ac:dyDescent="0.2">
      <c r="A2" s="25" t="s">
        <v>23</v>
      </c>
      <c r="B2" s="25" t="s">
        <v>49</v>
      </c>
      <c r="C2" s="26"/>
      <c r="D2" s="27"/>
    </row>
    <row r="3" spans="1:15" s="25" customFormat="1" ht="12.95" customHeight="1" thickBot="1" x14ac:dyDescent="0.25"/>
    <row r="4" spans="1:15" s="25" customFormat="1" ht="12.95" customHeight="1" thickTop="1" thickBot="1" x14ac:dyDescent="0.25">
      <c r="A4" s="28" t="s">
        <v>0</v>
      </c>
      <c r="C4" s="29" t="s">
        <v>36</v>
      </c>
      <c r="D4" s="30" t="s">
        <v>36</v>
      </c>
    </row>
    <row r="5" spans="1:15" s="25" customFormat="1" ht="12.95" customHeight="1" thickTop="1" x14ac:dyDescent="0.2">
      <c r="A5" s="31" t="s">
        <v>28</v>
      </c>
      <c r="C5" s="32">
        <v>-9.5</v>
      </c>
      <c r="D5" s="25" t="s">
        <v>29</v>
      </c>
    </row>
    <row r="6" spans="1:15" s="25" customFormat="1" ht="12.95" customHeight="1" x14ac:dyDescent="0.2">
      <c r="A6" s="28" t="s">
        <v>1</v>
      </c>
    </row>
    <row r="7" spans="1:15" s="25" customFormat="1" ht="12.95" customHeight="1" x14ac:dyDescent="0.2">
      <c r="A7" s="25" t="s">
        <v>2</v>
      </c>
      <c r="C7" s="50">
        <v>45942.3</v>
      </c>
      <c r="D7" s="34" t="s">
        <v>51</v>
      </c>
    </row>
    <row r="8" spans="1:15" s="25" customFormat="1" ht="12.95" customHeight="1" x14ac:dyDescent="0.2">
      <c r="A8" s="25" t="s">
        <v>3</v>
      </c>
      <c r="C8" s="50">
        <v>249.083</v>
      </c>
      <c r="D8" s="34" t="s">
        <v>51</v>
      </c>
    </row>
    <row r="9" spans="1:15" s="25" customFormat="1" ht="12.95" customHeight="1" x14ac:dyDescent="0.2">
      <c r="A9" s="35" t="s">
        <v>31</v>
      </c>
      <c r="C9" s="51">
        <v>21</v>
      </c>
      <c r="D9" s="36" t="str">
        <f>"F"&amp;C9</f>
        <v>F21</v>
      </c>
      <c r="E9" s="37" t="str">
        <f>"G"&amp;C9</f>
        <v>G21</v>
      </c>
    </row>
    <row r="10" spans="1:15" s="25" customFormat="1" ht="12.95" customHeight="1" thickBot="1" x14ac:dyDescent="0.25">
      <c r="C10" s="38" t="s">
        <v>19</v>
      </c>
      <c r="D10" s="38" t="s">
        <v>20</v>
      </c>
    </row>
    <row r="11" spans="1:15" s="25" customFormat="1" ht="12.95" customHeight="1" x14ac:dyDescent="0.2">
      <c r="A11" s="25" t="s">
        <v>15</v>
      </c>
      <c r="C11" s="37">
        <f ca="1">INTERCEPT(INDIRECT($E$9):G992,INDIRECT($D$9):F992)</f>
        <v>-0.46822719449578765</v>
      </c>
      <c r="D11" s="27"/>
    </row>
    <row r="12" spans="1:15" s="25" customFormat="1" ht="12.95" customHeight="1" x14ac:dyDescent="0.2">
      <c r="A12" s="25" t="s">
        <v>16</v>
      </c>
      <c r="C12" s="37">
        <f ca="1">SLOPE(INDIRECT($E$9):G992,INDIRECT($D$9):F992)</f>
        <v>0.15328227194503644</v>
      </c>
      <c r="D12" s="27"/>
      <c r="E12" s="52" t="s">
        <v>82</v>
      </c>
      <c r="F12" s="53" t="s">
        <v>83</v>
      </c>
    </row>
    <row r="13" spans="1:15" s="25" customFormat="1" ht="12.95" customHeight="1" x14ac:dyDescent="0.2">
      <c r="A13" s="25" t="s">
        <v>18</v>
      </c>
      <c r="C13" s="27" t="s">
        <v>13</v>
      </c>
      <c r="E13" s="54" t="s">
        <v>33</v>
      </c>
      <c r="F13" s="55">
        <v>1</v>
      </c>
    </row>
    <row r="14" spans="1:15" s="25" customFormat="1" ht="12.95" customHeight="1" x14ac:dyDescent="0.2">
      <c r="E14" s="54" t="s">
        <v>30</v>
      </c>
      <c r="F14" s="56">
        <f ca="1">NOW()+15018.5+$C$5/24</f>
        <v>60520.723498032406</v>
      </c>
    </row>
    <row r="15" spans="1:15" s="25" customFormat="1" ht="12.95" customHeight="1" x14ac:dyDescent="0.2">
      <c r="A15" s="39" t="s">
        <v>17</v>
      </c>
      <c r="C15" s="40">
        <f ca="1">(C7+C11)+(C8+C12)*INT(MAX(F21:F3533))</f>
        <v>48184.95831325301</v>
      </c>
      <c r="E15" s="54" t="s">
        <v>34</v>
      </c>
      <c r="F15" s="56">
        <f ca="1">ROUND(2*(F14-$C$7)/$C$8,0)/2+F13</f>
        <v>59.5</v>
      </c>
    </row>
    <row r="16" spans="1:15" s="25" customFormat="1" ht="12.95" customHeight="1" x14ac:dyDescent="0.2">
      <c r="A16" s="28" t="s">
        <v>4</v>
      </c>
      <c r="C16" s="42">
        <f ca="1">+C8+C12</f>
        <v>249.23628227194504</v>
      </c>
      <c r="E16" s="54" t="s">
        <v>35</v>
      </c>
      <c r="F16" s="57">
        <f ca="1">ROUND(2*(F14-$C$15)/$C$16,0)/2+F13</f>
        <v>50.5</v>
      </c>
    </row>
    <row r="17" spans="1:21" s="25" customFormat="1" ht="12.95" customHeight="1" thickBot="1" x14ac:dyDescent="0.25">
      <c r="A17" s="41" t="s">
        <v>27</v>
      </c>
      <c r="C17" s="25">
        <f>COUNT(C21:C2191)</f>
        <v>6</v>
      </c>
      <c r="E17" s="54" t="s">
        <v>85</v>
      </c>
      <c r="F17" s="58">
        <f ca="1">+$C$15+$C$16*$F$16-15018.5-$C$5/24</f>
        <v>45753.286401319572</v>
      </c>
    </row>
    <row r="18" spans="1:21" s="25" customFormat="1" ht="12.95" customHeight="1" thickTop="1" thickBot="1" x14ac:dyDescent="0.25">
      <c r="A18" s="28" t="s">
        <v>5</v>
      </c>
      <c r="C18" s="43">
        <f ca="1">+C15</f>
        <v>48184.95831325301</v>
      </c>
      <c r="D18" s="44">
        <f ca="1">+C16</f>
        <v>249.23628227194504</v>
      </c>
      <c r="E18" s="60" t="s">
        <v>84</v>
      </c>
      <c r="F18" s="59">
        <f ca="1">+($C$15+$C$16*$F$16)-($C$16/2)-15018.5-$C$5/24</f>
        <v>45628.6682601836</v>
      </c>
    </row>
    <row r="19" spans="1:21" s="25" customFormat="1" ht="12.95" customHeight="1" thickTop="1" x14ac:dyDescent="0.2"/>
    <row r="20" spans="1:21" s="25" customFormat="1" ht="12.95" customHeight="1" thickBot="1" x14ac:dyDescent="0.25">
      <c r="A20" s="38" t="s">
        <v>6</v>
      </c>
      <c r="B20" s="38" t="s">
        <v>7</v>
      </c>
      <c r="C20" s="38" t="s">
        <v>8</v>
      </c>
      <c r="D20" s="38" t="s">
        <v>12</v>
      </c>
      <c r="E20" s="38" t="s">
        <v>9</v>
      </c>
      <c r="F20" s="38" t="s">
        <v>10</v>
      </c>
      <c r="G20" s="38" t="s">
        <v>11</v>
      </c>
      <c r="H20" s="45" t="s">
        <v>37</v>
      </c>
      <c r="I20" s="45" t="s">
        <v>38</v>
      </c>
      <c r="J20" s="45" t="s">
        <v>39</v>
      </c>
      <c r="K20" s="45" t="s">
        <v>40</v>
      </c>
      <c r="L20" s="45" t="s">
        <v>24</v>
      </c>
      <c r="M20" s="45" t="s">
        <v>25</v>
      </c>
      <c r="N20" s="45" t="s">
        <v>26</v>
      </c>
      <c r="O20" s="45" t="s">
        <v>22</v>
      </c>
      <c r="P20" s="46" t="s">
        <v>21</v>
      </c>
      <c r="Q20" s="38" t="s">
        <v>14</v>
      </c>
      <c r="U20" s="47" t="s">
        <v>32</v>
      </c>
    </row>
    <row r="21" spans="1:21" s="25" customFormat="1" ht="12.95" customHeight="1" x14ac:dyDescent="0.2">
      <c r="A21" s="25" t="s">
        <v>51</v>
      </c>
      <c r="B21" s="27"/>
      <c r="C21" s="33">
        <v>45942.3</v>
      </c>
      <c r="D21" s="33" t="s">
        <v>13</v>
      </c>
      <c r="E21" s="25">
        <f t="shared" ref="E21:E26" si="0">+(C21-C$7)/C$8</f>
        <v>0</v>
      </c>
      <c r="F21" s="25">
        <f t="shared" ref="F21:F26" si="1">ROUND(2*E21,0)/2</f>
        <v>0</v>
      </c>
      <c r="G21" s="25">
        <f t="shared" ref="G21:G26" si="2">+C21-(C$7+F21*C$8)</f>
        <v>0</v>
      </c>
      <c r="H21" s="25">
        <f t="shared" ref="H21:H26" si="3">+G21</f>
        <v>0</v>
      </c>
      <c r="O21" s="25">
        <f t="shared" ref="O21:O26" ca="1" si="4">+C$11+C$12*$F21</f>
        <v>-0.46822719449578765</v>
      </c>
      <c r="Q21" s="48">
        <f t="shared" ref="Q21:Q26" si="5">+C21-15018.5</f>
        <v>30923.800000000003</v>
      </c>
    </row>
    <row r="22" spans="1:21" s="25" customFormat="1" ht="12.95" customHeight="1" x14ac:dyDescent="0.2">
      <c r="A22" s="25" t="s">
        <v>58</v>
      </c>
      <c r="B22" s="27" t="s">
        <v>80</v>
      </c>
      <c r="C22" s="33">
        <v>45442.2</v>
      </c>
      <c r="D22" s="33"/>
      <c r="E22" s="25">
        <f t="shared" si="0"/>
        <v>-2.0077644801130781</v>
      </c>
      <c r="F22" s="25">
        <f t="shared" si="1"/>
        <v>-2</v>
      </c>
      <c r="G22" s="25">
        <f t="shared" si="2"/>
        <v>-1.9340000000083819</v>
      </c>
      <c r="H22" s="25">
        <f t="shared" si="3"/>
        <v>-1.9340000000083819</v>
      </c>
      <c r="O22" s="25">
        <f t="shared" ca="1" si="4"/>
        <v>-0.77479173838586046</v>
      </c>
      <c r="Q22" s="48">
        <f t="shared" si="5"/>
        <v>30423.699999999997</v>
      </c>
    </row>
    <row r="23" spans="1:21" s="25" customFormat="1" ht="12.95" customHeight="1" x14ac:dyDescent="0.2">
      <c r="A23" s="25" t="s">
        <v>63</v>
      </c>
      <c r="B23" s="27" t="s">
        <v>81</v>
      </c>
      <c r="C23" s="33">
        <v>45942.9</v>
      </c>
      <c r="D23" s="33"/>
      <c r="E23" s="25">
        <f t="shared" si="0"/>
        <v>2.4088356090080205E-3</v>
      </c>
      <c r="F23" s="25">
        <f t="shared" si="1"/>
        <v>0</v>
      </c>
      <c r="G23" s="25">
        <f t="shared" si="2"/>
        <v>0.59999999999854481</v>
      </c>
      <c r="H23" s="25">
        <f t="shared" si="3"/>
        <v>0.59999999999854481</v>
      </c>
      <c r="O23" s="25">
        <f t="shared" ca="1" si="4"/>
        <v>-0.46822719449578765</v>
      </c>
      <c r="Q23" s="48">
        <f t="shared" si="5"/>
        <v>30924.400000000001</v>
      </c>
    </row>
    <row r="24" spans="1:21" s="25" customFormat="1" ht="12.95" customHeight="1" x14ac:dyDescent="0.2">
      <c r="A24" s="25" t="s">
        <v>69</v>
      </c>
      <c r="B24" s="27" t="s">
        <v>81</v>
      </c>
      <c r="C24" s="33">
        <v>47437.05</v>
      </c>
      <c r="D24" s="33"/>
      <c r="E24" s="25">
        <f t="shared" si="0"/>
        <v>6.0010117109557859</v>
      </c>
      <c r="F24" s="25">
        <f t="shared" si="1"/>
        <v>6</v>
      </c>
      <c r="G24" s="25">
        <f t="shared" si="2"/>
        <v>0.25200000000040745</v>
      </c>
      <c r="H24" s="25">
        <f t="shared" si="3"/>
        <v>0.25200000000040745</v>
      </c>
      <c r="O24" s="25">
        <f t="shared" ca="1" si="4"/>
        <v>0.45146643717443102</v>
      </c>
      <c r="Q24" s="48">
        <f t="shared" si="5"/>
        <v>32418.550000000003</v>
      </c>
    </row>
    <row r="25" spans="1:21" s="25" customFormat="1" ht="12.95" customHeight="1" x14ac:dyDescent="0.2">
      <c r="A25" s="25" t="s">
        <v>74</v>
      </c>
      <c r="B25" s="27" t="s">
        <v>81</v>
      </c>
      <c r="C25" s="33">
        <v>47437.09</v>
      </c>
      <c r="D25" s="33"/>
      <c r="E25" s="25">
        <f t="shared" si="0"/>
        <v>6.0011722999963615</v>
      </c>
      <c r="F25" s="25">
        <f t="shared" si="1"/>
        <v>6</v>
      </c>
      <c r="G25" s="25">
        <f t="shared" si="2"/>
        <v>0.29199999999400461</v>
      </c>
      <c r="H25" s="25">
        <f t="shared" si="3"/>
        <v>0.29199999999400461</v>
      </c>
      <c r="O25" s="25">
        <f t="shared" ca="1" si="4"/>
        <v>0.45146643717443102</v>
      </c>
      <c r="Q25" s="48">
        <f t="shared" si="5"/>
        <v>32418.589999999997</v>
      </c>
    </row>
    <row r="26" spans="1:21" s="25" customFormat="1" ht="12.95" customHeight="1" x14ac:dyDescent="0.2">
      <c r="A26" s="25" t="s">
        <v>79</v>
      </c>
      <c r="B26" s="27" t="s">
        <v>81</v>
      </c>
      <c r="C26" s="33">
        <v>48184.94</v>
      </c>
      <c r="D26" s="33"/>
      <c r="E26" s="25">
        <f t="shared" si="0"/>
        <v>9.0035851503314142</v>
      </c>
      <c r="F26" s="25">
        <f t="shared" si="1"/>
        <v>9</v>
      </c>
      <c r="G26" s="25">
        <f t="shared" si="2"/>
        <v>0.89299999999639113</v>
      </c>
      <c r="H26" s="25">
        <f t="shared" si="3"/>
        <v>0.89299999999639113</v>
      </c>
      <c r="O26" s="25">
        <f t="shared" ca="1" si="4"/>
        <v>0.91131325300954025</v>
      </c>
      <c r="Q26" s="48">
        <f t="shared" si="5"/>
        <v>33166.44</v>
      </c>
    </row>
    <row r="27" spans="1:21" s="25" customFormat="1" ht="12.95" customHeight="1" x14ac:dyDescent="0.2">
      <c r="B27" s="27"/>
      <c r="C27" s="33"/>
      <c r="D27" s="33"/>
      <c r="Q27" s="48"/>
    </row>
    <row r="28" spans="1:21" s="25" customFormat="1" ht="12.95" customHeight="1" x14ac:dyDescent="0.2">
      <c r="B28" s="27"/>
      <c r="C28" s="33"/>
      <c r="D28" s="33"/>
      <c r="Q28" s="48"/>
    </row>
    <row r="29" spans="1:21" s="25" customFormat="1" ht="12.95" customHeight="1" x14ac:dyDescent="0.2">
      <c r="B29" s="27"/>
      <c r="C29" s="33"/>
      <c r="D29" s="33"/>
      <c r="Q29" s="48"/>
    </row>
    <row r="30" spans="1:21" s="25" customFormat="1" ht="12.95" customHeight="1" x14ac:dyDescent="0.2">
      <c r="B30" s="27"/>
      <c r="C30" s="33"/>
      <c r="D30" s="33"/>
      <c r="Q30" s="48"/>
    </row>
    <row r="31" spans="1:21" s="25" customFormat="1" ht="12.95" customHeight="1" x14ac:dyDescent="0.2">
      <c r="B31" s="27"/>
      <c r="C31" s="33"/>
      <c r="D31" s="33"/>
      <c r="Q31" s="48"/>
    </row>
    <row r="32" spans="1:21" s="25" customFormat="1" ht="12.95" customHeight="1" x14ac:dyDescent="0.2">
      <c r="B32" s="27"/>
      <c r="C32" s="33"/>
      <c r="D32" s="33"/>
      <c r="Q32" s="48"/>
    </row>
    <row r="33" spans="2:17" s="25" customFormat="1" ht="12.95" customHeight="1" x14ac:dyDescent="0.2">
      <c r="B33" s="27"/>
      <c r="C33" s="33"/>
      <c r="D33" s="33"/>
      <c r="Q33" s="48"/>
    </row>
    <row r="34" spans="2:17" s="25" customFormat="1" ht="12.95" customHeight="1" x14ac:dyDescent="0.2">
      <c r="B34" s="27"/>
      <c r="C34" s="33"/>
      <c r="D34" s="33"/>
    </row>
    <row r="35" spans="2:17" s="25" customFormat="1" ht="12.95" customHeight="1" x14ac:dyDescent="0.2">
      <c r="B35" s="27"/>
      <c r="C35" s="33"/>
      <c r="D35" s="33"/>
    </row>
    <row r="36" spans="2:17" s="25" customFormat="1" ht="12.95" customHeight="1" x14ac:dyDescent="0.2">
      <c r="C36" s="33"/>
      <c r="D36" s="33"/>
    </row>
    <row r="37" spans="2:17" x14ac:dyDescent="0.2">
      <c r="C37" s="2"/>
      <c r="D37" s="2"/>
    </row>
    <row r="38" spans="2:17" x14ac:dyDescent="0.2">
      <c r="C38" s="2"/>
      <c r="D38" s="2"/>
    </row>
    <row r="39" spans="2:17" x14ac:dyDescent="0.2">
      <c r="C39" s="2"/>
      <c r="D39" s="2"/>
    </row>
    <row r="40" spans="2:17" x14ac:dyDescent="0.2">
      <c r="C40" s="2"/>
      <c r="D40" s="2"/>
    </row>
    <row r="41" spans="2:17" x14ac:dyDescent="0.2">
      <c r="C41" s="2"/>
      <c r="D41" s="2"/>
    </row>
    <row r="42" spans="2:17" x14ac:dyDescent="0.2">
      <c r="C42" s="2"/>
      <c r="D42" s="2"/>
    </row>
    <row r="43" spans="2:17" x14ac:dyDescent="0.2">
      <c r="C43" s="2"/>
      <c r="D43" s="2"/>
    </row>
    <row r="44" spans="2:17" x14ac:dyDescent="0.2">
      <c r="C44" s="2"/>
      <c r="D44" s="2"/>
    </row>
    <row r="45" spans="2:17" x14ac:dyDescent="0.2">
      <c r="C45" s="2"/>
      <c r="D45" s="2"/>
    </row>
    <row r="46" spans="2:17" x14ac:dyDescent="0.2">
      <c r="C46" s="2"/>
      <c r="D46" s="2"/>
    </row>
    <row r="47" spans="2:17" x14ac:dyDescent="0.2">
      <c r="C47" s="2"/>
      <c r="D47" s="2"/>
    </row>
    <row r="48" spans="2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7"/>
  <sheetViews>
    <sheetView workbookViewId="0">
      <selection activeCell="A11" sqref="A11:C15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2" t="s">
        <v>41</v>
      </c>
      <c r="I1" s="13" t="s">
        <v>42</v>
      </c>
      <c r="J1" s="14" t="s">
        <v>40</v>
      </c>
    </row>
    <row r="2" spans="1:16" x14ac:dyDescent="0.2">
      <c r="I2" s="15" t="s">
        <v>43</v>
      </c>
      <c r="J2" s="16" t="s">
        <v>39</v>
      </c>
    </row>
    <row r="3" spans="1:16" x14ac:dyDescent="0.2">
      <c r="A3" s="17" t="s">
        <v>44</v>
      </c>
      <c r="I3" s="15" t="s">
        <v>45</v>
      </c>
      <c r="J3" s="16" t="s">
        <v>37</v>
      </c>
    </row>
    <row r="4" spans="1:16" x14ac:dyDescent="0.2">
      <c r="I4" s="15" t="s">
        <v>46</v>
      </c>
      <c r="J4" s="16" t="s">
        <v>37</v>
      </c>
    </row>
    <row r="5" spans="1:16" ht="13.5" thickBot="1" x14ac:dyDescent="0.25">
      <c r="I5" s="18" t="s">
        <v>47</v>
      </c>
      <c r="J5" s="19" t="s">
        <v>38</v>
      </c>
    </row>
    <row r="10" spans="1:16" ht="13.5" thickBot="1" x14ac:dyDescent="0.25"/>
    <row r="11" spans="1:16" ht="12.75" customHeight="1" thickBot="1" x14ac:dyDescent="0.25">
      <c r="A11" s="2" t="str">
        <f>P11</f>
        <v> GCVS </v>
      </c>
      <c r="B11" s="1" t="str">
        <f>IF(H11=INT(H11),"I","II")</f>
        <v>I</v>
      </c>
      <c r="C11" s="2">
        <f>1*G11</f>
        <v>45442.2</v>
      </c>
      <c r="D11" s="3" t="str">
        <f>VLOOKUP(F11,I$1:J$5,2,FALSE)</f>
        <v>vis</v>
      </c>
      <c r="E11" s="20">
        <f>VLOOKUP(C11,Active!C$21:E$973,3,FALSE)</f>
        <v>-2.0077644801130781</v>
      </c>
      <c r="F11" s="1" t="s">
        <v>47</v>
      </c>
      <c r="G11" s="3" t="str">
        <f>MID(I11,3,LEN(I11)-3)</f>
        <v>45442.2</v>
      </c>
      <c r="H11" s="2">
        <f>1*K11</f>
        <v>0</v>
      </c>
      <c r="I11" s="21" t="s">
        <v>52</v>
      </c>
      <c r="J11" s="22" t="s">
        <v>53</v>
      </c>
      <c r="K11" s="21">
        <v>0</v>
      </c>
      <c r="L11" s="21" t="s">
        <v>54</v>
      </c>
      <c r="M11" s="22" t="s">
        <v>55</v>
      </c>
      <c r="N11" s="22" t="s">
        <v>56</v>
      </c>
      <c r="O11" s="23" t="s">
        <v>57</v>
      </c>
      <c r="P11" s="23" t="s">
        <v>58</v>
      </c>
    </row>
    <row r="12" spans="1:16" ht="12.75" customHeight="1" thickBot="1" x14ac:dyDescent="0.25">
      <c r="A12" s="2" t="str">
        <f>P12</f>
        <v>BAVM 46 </v>
      </c>
      <c r="B12" s="1" t="str">
        <f>IF(H12=INT(H12),"I","II")</f>
        <v>II</v>
      </c>
      <c r="C12" s="2">
        <f>1*G12</f>
        <v>45942.9</v>
      </c>
      <c r="D12" s="3" t="str">
        <f>VLOOKUP(F12,I$1:J$5,2,FALSE)</f>
        <v>vis</v>
      </c>
      <c r="E12" s="20">
        <f>VLOOKUP(C12,Active!C$21:E$973,3,FALSE)</f>
        <v>2.4088356090080205E-3</v>
      </c>
      <c r="F12" s="1" t="s">
        <v>47</v>
      </c>
      <c r="G12" s="3" t="str">
        <f>MID(I12,3,LEN(I12)-3)</f>
        <v>45942.90</v>
      </c>
      <c r="H12" s="2">
        <f>1*K12</f>
        <v>500.5</v>
      </c>
      <c r="I12" s="21" t="s">
        <v>59</v>
      </c>
      <c r="J12" s="22" t="s">
        <v>60</v>
      </c>
      <c r="K12" s="21">
        <v>500.5</v>
      </c>
      <c r="L12" s="21" t="s">
        <v>61</v>
      </c>
      <c r="M12" s="22" t="s">
        <v>55</v>
      </c>
      <c r="N12" s="22" t="s">
        <v>47</v>
      </c>
      <c r="O12" s="23" t="s">
        <v>62</v>
      </c>
      <c r="P12" s="24" t="s">
        <v>63</v>
      </c>
    </row>
    <row r="13" spans="1:16" ht="12.75" customHeight="1" thickBot="1" x14ac:dyDescent="0.25">
      <c r="A13" s="2" t="str">
        <f>P13</f>
        <v>BAVM 52 </v>
      </c>
      <c r="B13" s="1" t="str">
        <f>IF(H13=INT(H13),"I","II")</f>
        <v>II</v>
      </c>
      <c r="C13" s="2">
        <f>1*G13</f>
        <v>47437.05</v>
      </c>
      <c r="D13" s="3" t="str">
        <f>VLOOKUP(F13,I$1:J$5,2,FALSE)</f>
        <v>vis</v>
      </c>
      <c r="E13" s="20">
        <f>VLOOKUP(C13,Active!C$21:E$973,3,FALSE)</f>
        <v>6.0010117109557859</v>
      </c>
      <c r="F13" s="1" t="s">
        <v>47</v>
      </c>
      <c r="G13" s="3" t="str">
        <f>MID(I13,3,LEN(I13)-3)</f>
        <v>47437.05</v>
      </c>
      <c r="H13" s="2">
        <f>1*K13</f>
        <v>1994.5</v>
      </c>
      <c r="I13" s="21" t="s">
        <v>64</v>
      </c>
      <c r="J13" s="22" t="s">
        <v>65</v>
      </c>
      <c r="K13" s="21">
        <v>1994.5</v>
      </c>
      <c r="L13" s="21" t="s">
        <v>66</v>
      </c>
      <c r="M13" s="22" t="s">
        <v>55</v>
      </c>
      <c r="N13" s="22" t="s">
        <v>67</v>
      </c>
      <c r="O13" s="23" t="s">
        <v>68</v>
      </c>
      <c r="P13" s="24" t="s">
        <v>69</v>
      </c>
    </row>
    <row r="14" spans="1:16" ht="12.75" customHeight="1" thickBot="1" x14ac:dyDescent="0.25">
      <c r="A14" s="2" t="str">
        <f>P14</f>
        <v> AAP 274.225 </v>
      </c>
      <c r="B14" s="1" t="str">
        <f>IF(H14=INT(H14),"I","II")</f>
        <v>II</v>
      </c>
      <c r="C14" s="2">
        <f>1*G14</f>
        <v>47437.09</v>
      </c>
      <c r="D14" s="3" t="str">
        <f>VLOOKUP(F14,I$1:J$5,2,FALSE)</f>
        <v>vis</v>
      </c>
      <c r="E14" s="20">
        <f>VLOOKUP(C14,Active!C$21:E$973,3,FALSE)</f>
        <v>6.0011722999963615</v>
      </c>
      <c r="F14" s="1" t="s">
        <v>47</v>
      </c>
      <c r="G14" s="3" t="str">
        <f>MID(I14,3,LEN(I14)-3)</f>
        <v>47437.09</v>
      </c>
      <c r="H14" s="2">
        <f>1*K14</f>
        <v>1994.5</v>
      </c>
      <c r="I14" s="21" t="s">
        <v>70</v>
      </c>
      <c r="J14" s="22" t="s">
        <v>71</v>
      </c>
      <c r="K14" s="21">
        <v>1994.5</v>
      </c>
      <c r="L14" s="21" t="s">
        <v>72</v>
      </c>
      <c r="M14" s="22" t="s">
        <v>55</v>
      </c>
      <c r="N14" s="22" t="s">
        <v>56</v>
      </c>
      <c r="O14" s="23" t="s">
        <v>73</v>
      </c>
      <c r="P14" s="23" t="s">
        <v>74</v>
      </c>
    </row>
    <row r="15" spans="1:16" ht="12.75" customHeight="1" thickBot="1" x14ac:dyDescent="0.25">
      <c r="A15" s="2" t="str">
        <f>P15</f>
        <v>IBVS 3587 </v>
      </c>
      <c r="B15" s="1" t="str">
        <f>IF(H15=INT(H15),"I","II")</f>
        <v>II</v>
      </c>
      <c r="C15" s="2">
        <f>1*G15</f>
        <v>48184.94</v>
      </c>
      <c r="D15" s="3" t="str">
        <f>VLOOKUP(F15,I$1:J$5,2,FALSE)</f>
        <v>vis</v>
      </c>
      <c r="E15" s="20">
        <f>VLOOKUP(C15,Active!C$21:E$973,3,FALSE)</f>
        <v>9.0035851503314142</v>
      </c>
      <c r="F15" s="1" t="s">
        <v>47</v>
      </c>
      <c r="G15" s="3" t="str">
        <f>MID(I15,3,LEN(I15)-3)</f>
        <v>48184.94</v>
      </c>
      <c r="H15" s="2">
        <f>1*K15</f>
        <v>2742.5</v>
      </c>
      <c r="I15" s="21" t="s">
        <v>75</v>
      </c>
      <c r="J15" s="22" t="s">
        <v>76</v>
      </c>
      <c r="K15" s="21">
        <v>2742.5</v>
      </c>
      <c r="L15" s="21" t="s">
        <v>77</v>
      </c>
      <c r="M15" s="22" t="s">
        <v>55</v>
      </c>
      <c r="N15" s="22" t="s">
        <v>56</v>
      </c>
      <c r="O15" s="23" t="s">
        <v>78</v>
      </c>
      <c r="P15" s="24" t="s">
        <v>79</v>
      </c>
    </row>
    <row r="16" spans="1:16" x14ac:dyDescent="0.2">
      <c r="B16" s="1"/>
      <c r="E16" s="20"/>
      <c r="F16" s="1"/>
    </row>
    <row r="17" spans="2:6" x14ac:dyDescent="0.2">
      <c r="B17" s="1"/>
      <c r="E17" s="20"/>
      <c r="F17" s="1"/>
    </row>
    <row r="18" spans="2:6" x14ac:dyDescent="0.2">
      <c r="B18" s="1"/>
      <c r="E18" s="20"/>
      <c r="F18" s="1"/>
    </row>
    <row r="19" spans="2:6" x14ac:dyDescent="0.2">
      <c r="B19" s="1"/>
      <c r="E19" s="20"/>
      <c r="F19" s="1"/>
    </row>
    <row r="20" spans="2:6" x14ac:dyDescent="0.2">
      <c r="B20" s="1"/>
      <c r="E20" s="20"/>
      <c r="F20" s="1"/>
    </row>
    <row r="21" spans="2:6" x14ac:dyDescent="0.2">
      <c r="B21" s="1"/>
      <c r="E21" s="20"/>
      <c r="F21" s="1"/>
    </row>
    <row r="22" spans="2:6" x14ac:dyDescent="0.2">
      <c r="B22" s="1"/>
      <c r="E22" s="20"/>
      <c r="F22" s="1"/>
    </row>
    <row r="23" spans="2:6" x14ac:dyDescent="0.2">
      <c r="B23" s="1"/>
      <c r="E23" s="20"/>
      <c r="F23" s="1"/>
    </row>
    <row r="24" spans="2:6" x14ac:dyDescent="0.2">
      <c r="B24" s="1"/>
      <c r="E24" s="20"/>
      <c r="F24" s="1"/>
    </row>
    <row r="25" spans="2:6" x14ac:dyDescent="0.2">
      <c r="B25" s="1"/>
      <c r="E25" s="20"/>
      <c r="F25" s="1"/>
    </row>
    <row r="26" spans="2:6" x14ac:dyDescent="0.2">
      <c r="B26" s="1"/>
      <c r="E26" s="20"/>
      <c r="F26" s="1"/>
    </row>
    <row r="27" spans="2:6" x14ac:dyDescent="0.2">
      <c r="B27" s="1"/>
      <c r="E27" s="20"/>
      <c r="F27" s="1"/>
    </row>
    <row r="28" spans="2:6" x14ac:dyDescent="0.2">
      <c r="B28" s="1"/>
      <c r="E28" s="20"/>
      <c r="F28" s="1"/>
    </row>
    <row r="29" spans="2:6" x14ac:dyDescent="0.2">
      <c r="B29" s="1"/>
      <c r="E29" s="20"/>
      <c r="F29" s="1"/>
    </row>
    <row r="30" spans="2:6" x14ac:dyDescent="0.2">
      <c r="B30" s="1"/>
      <c r="E30" s="20"/>
      <c r="F30" s="1"/>
    </row>
    <row r="31" spans="2:6" x14ac:dyDescent="0.2">
      <c r="B31" s="1"/>
      <c r="E31" s="20"/>
      <c r="F31" s="1"/>
    </row>
    <row r="32" spans="2:6" x14ac:dyDescent="0.2">
      <c r="B32" s="1"/>
      <c r="E32" s="20"/>
      <c r="F32" s="1"/>
    </row>
    <row r="33" spans="2:6" x14ac:dyDescent="0.2">
      <c r="B33" s="1"/>
      <c r="E33" s="20"/>
      <c r="F33" s="1"/>
    </row>
    <row r="34" spans="2:6" x14ac:dyDescent="0.2">
      <c r="B34" s="1"/>
      <c r="E34" s="20"/>
      <c r="F34" s="1"/>
    </row>
    <row r="35" spans="2:6" x14ac:dyDescent="0.2">
      <c r="B35" s="1"/>
      <c r="E35" s="20"/>
      <c r="F35" s="1"/>
    </row>
    <row r="36" spans="2:6" x14ac:dyDescent="0.2">
      <c r="B36" s="1"/>
      <c r="E36" s="20"/>
      <c r="F36" s="1"/>
    </row>
    <row r="37" spans="2:6" x14ac:dyDescent="0.2">
      <c r="B37" s="1"/>
      <c r="E37" s="20"/>
      <c r="F37" s="1"/>
    </row>
    <row r="38" spans="2:6" x14ac:dyDescent="0.2">
      <c r="B38" s="1"/>
      <c r="E38" s="20"/>
      <c r="F38" s="1"/>
    </row>
    <row r="39" spans="2:6" x14ac:dyDescent="0.2">
      <c r="B39" s="1"/>
      <c r="E39" s="20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</sheetData>
  <phoneticPr fontId="7" type="noConversion"/>
  <hyperlinks>
    <hyperlink ref="A3" r:id="rId1" xr:uid="{00000000-0004-0000-0100-000000000000}"/>
    <hyperlink ref="P12" r:id="rId2" display="http://www.bav-astro.de/sfs/BAVM_link.php?BAVMnr=46" xr:uid="{00000000-0004-0000-0100-000001000000}"/>
    <hyperlink ref="P13" r:id="rId3" display="http://www.bav-astro.de/sfs/BAVM_link.php?BAVMnr=52" xr:uid="{00000000-0004-0000-0100-000002000000}"/>
    <hyperlink ref="P15" r:id="rId4" display="http://www.konkoly.hu/cgi-bin/IBVS?3587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2024-07-29T05:21:50Z</dcterms:modified>
</cp:coreProperties>
</file>