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ED93220-0339-4C26-BB9D-38E4975EC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4" i="1" l="1"/>
  <c r="F34" i="1" s="1"/>
  <c r="G34" i="1" s="1"/>
  <c r="H34" i="1" s="1"/>
  <c r="Q34" i="1"/>
  <c r="C34" i="1"/>
  <c r="A34" i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/>
  <c r="G29" i="1" s="1"/>
  <c r="H29" i="1" s="1"/>
  <c r="E30" i="1"/>
  <c r="F30" i="1" s="1"/>
  <c r="G30" i="1" s="1"/>
  <c r="H30" i="1" s="1"/>
  <c r="E31" i="1"/>
  <c r="F31" i="1"/>
  <c r="G31" i="1" s="1"/>
  <c r="H31" i="1" s="1"/>
  <c r="E32" i="1"/>
  <c r="F32" i="1" s="1"/>
  <c r="G32" i="1" s="1"/>
  <c r="H32" i="1" s="1"/>
  <c r="E33" i="1"/>
  <c r="F33" i="1" s="1"/>
  <c r="G33" i="1" s="1"/>
  <c r="H33" i="1" s="1"/>
  <c r="E21" i="1"/>
  <c r="F21" i="1" s="1"/>
  <c r="G21" i="1" s="1"/>
  <c r="H21" i="1" s="1"/>
  <c r="Q22" i="1"/>
  <c r="Q23" i="1"/>
  <c r="Q24" i="1"/>
  <c r="Q25" i="1"/>
  <c r="Q26" i="1"/>
  <c r="Q27" i="1"/>
  <c r="Q28" i="1"/>
  <c r="Q29" i="1"/>
  <c r="Q30" i="1"/>
  <c r="Q31" i="1"/>
  <c r="Q32" i="1"/>
  <c r="Q33" i="1"/>
  <c r="G23" i="2"/>
  <c r="C23" i="2"/>
  <c r="E23" i="2"/>
  <c r="G22" i="2"/>
  <c r="C22" i="2"/>
  <c r="G21" i="2"/>
  <c r="C21" i="2"/>
  <c r="E21" i="2"/>
  <c r="G20" i="2"/>
  <c r="C20" i="2"/>
  <c r="G19" i="2"/>
  <c r="C19" i="2"/>
  <c r="E19" i="2"/>
  <c r="G18" i="2"/>
  <c r="C18" i="2"/>
  <c r="E18" i="2"/>
  <c r="G17" i="2"/>
  <c r="C17" i="2"/>
  <c r="G16" i="2"/>
  <c r="C16" i="2"/>
  <c r="E16" i="2"/>
  <c r="G15" i="2"/>
  <c r="C15" i="2"/>
  <c r="E15" i="2"/>
  <c r="G14" i="2"/>
  <c r="C14" i="2"/>
  <c r="G13" i="2"/>
  <c r="C13" i="2"/>
  <c r="E13" i="2"/>
  <c r="G12" i="2"/>
  <c r="C12" i="2"/>
  <c r="E12" i="2"/>
  <c r="G11" i="2"/>
  <c r="C11" i="2"/>
  <c r="E11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4" i="1"/>
  <c r="C17" i="1"/>
  <c r="Q21" i="1"/>
  <c r="C11" i="1"/>
  <c r="C12" i="1"/>
  <c r="E14" i="2" l="1"/>
  <c r="E20" i="2"/>
  <c r="O34" i="1"/>
  <c r="E22" i="2"/>
  <c r="E17" i="2"/>
  <c r="O32" i="1"/>
  <c r="O31" i="1"/>
  <c r="O28" i="1"/>
  <c r="O21" i="1"/>
  <c r="O26" i="1"/>
  <c r="O29" i="1"/>
  <c r="O22" i="1"/>
  <c r="O33" i="1"/>
  <c r="O23" i="1"/>
  <c r="O24" i="1"/>
  <c r="O30" i="1"/>
  <c r="C15" i="1"/>
  <c r="O27" i="1"/>
  <c r="O25" i="1"/>
  <c r="C16" i="1"/>
  <c r="D18" i="1" s="1"/>
  <c r="F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<sst xmlns="http://schemas.openxmlformats.org/spreadsheetml/2006/main" count="180" uniqueCount="100">
  <si>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</si>
  <si>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</si>
  <si>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</si>
  <si>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</si>
  <si>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</si>
  <si>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</si>
  <si>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</si>
  <si>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</si>
  <si>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</si>
  <si>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</si>
  <si>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</si>
  <si>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</si>
  <si>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</si>
  <si>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</si>
  <si>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</si>
  <si>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</si>
  <si>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</si>
  <si>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</si>
  <si>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</si>
  <si>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</si>
  <si>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</si>
  <si>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</si>
  <si>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</si>
  <si>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</si>
  <si>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</si>
  <si>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</si>
  <si>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</si>
  <si>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</si>
  <si>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</si>
  <si>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</si>
  <si>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</si>
  <si>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</si>
  <si>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</si>
  <si>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</si>
  <si>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</si>
  <si>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</si>
  <si>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</si>
  <si>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</si>
  <si>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</si>
  <si>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</si>
  <si>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</si>
  <si>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</si>
  <si>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</si>
  <si>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</si>
  <si>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</si>
  <si>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</si>
  <si>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</si>
  <si>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SY Vul</t>
  </si>
  <si>
    <t>EA</t>
  </si>
  <si>
    <t>GCVS 4</t>
  </si>
  <si>
    <t>SY Vul / GSC 16293.463</t>
  </si>
  <si>
    <t>2416293.463 </t>
  </si>
  <si>
    <t> 27.06.1903 23:06 </t>
  </si>
  <si>
    <t> 0.000 </t>
  </si>
  <si>
    <t>P </t>
  </si>
  <si>
    <t> M.Wolf </t>
  </si>
  <si>
    <t> MVS 3.23 </t>
  </si>
  <si>
    <t>2426209.390 </t>
  </si>
  <si>
    <t> 20.08.1930 21:21 </t>
  </si>
  <si>
    <t> -0.250 </t>
  </si>
  <si>
    <t> L.Meinunger </t>
  </si>
  <si>
    <t>2426217.472 </t>
  </si>
  <si>
    <t> 28.08.1930 23:19 </t>
  </si>
  <si>
    <t> 0.030 </t>
  </si>
  <si>
    <t>2427637.511 </t>
  </si>
  <si>
    <t> 19.07.1934 00:15 </t>
  </si>
  <si>
    <t> 0.129 </t>
  </si>
  <si>
    <t>2427933.545 </t>
  </si>
  <si>
    <t> 11.05.1935 01:04 </t>
  </si>
  <si>
    <t> -0.308 </t>
  </si>
  <si>
    <t>2433512.411 </t>
  </si>
  <si>
    <t> 18.08.1950 21:51 </t>
  </si>
  <si>
    <t> 0.221 </t>
  </si>
  <si>
    <t>2434955.416 </t>
  </si>
  <si>
    <t> 31.07.1954 21:59 </t>
  </si>
  <si>
    <t> -0.120 </t>
  </si>
  <si>
    <t>2434986.501 </t>
  </si>
  <si>
    <t> 01.09.1954 00:01 </t>
  </si>
  <si>
    <t> -0.243 </t>
  </si>
  <si>
    <t>2435314.460 </t>
  </si>
  <si>
    <t> 25.07.1955 23:02 </t>
  </si>
  <si>
    <t> 0.038 </t>
  </si>
  <si>
    <t>2435369.400 </t>
  </si>
  <si>
    <t> 18.09.1955 21:36 </t>
  </si>
  <si>
    <t> 0.365 </t>
  </si>
  <si>
    <t>2436453.352 </t>
  </si>
  <si>
    <t> 06.09.1958 20:26 </t>
  </si>
  <si>
    <t> -0.143 </t>
  </si>
  <si>
    <t>2437935.428 </t>
  </si>
  <si>
    <t> 27.09.1962 22:16 </t>
  </si>
  <si>
    <t> -0.422 </t>
  </si>
  <si>
    <t>2437959.348 </t>
  </si>
  <si>
    <t> 21.10.1962 20:21 </t>
  </si>
  <si>
    <t> 0.092 </t>
  </si>
  <si>
    <t>I</t>
  </si>
  <si>
    <t xml:space="preserve">Mag </t>
  </si>
  <si>
    <t>Next ToM-S</t>
  </si>
  <si>
    <t>Next ToM-P</t>
  </si>
  <si>
    <t>13.91-15.55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</si>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</sst>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5" fillId="5" borderId="13" xfId="0" applyFont="1" applyFill="1" applyBorder="1" applyAlignment="1">
      <alignment horizontal="right" vertical="center"/>
    </xf>
    <xf numFmtId="0" fontId="15" fillId="5" borderId="14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22" fontId="22" fillId="0" borderId="17" xfId="0" applyNumberFormat="1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Vul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-5251</c:v>
                </c:pt>
                <c:pt idx="1">
                  <c:v>-3980</c:v>
                </c:pt>
                <c:pt idx="2">
                  <c:v>-3979</c:v>
                </c:pt>
                <c:pt idx="3">
                  <c:v>-3797</c:v>
                </c:pt>
                <c:pt idx="4">
                  <c:v>-3759</c:v>
                </c:pt>
                <c:pt idx="5">
                  <c:v>-3044</c:v>
                </c:pt>
                <c:pt idx="6">
                  <c:v>-2859</c:v>
                </c:pt>
                <c:pt idx="7">
                  <c:v>-2855</c:v>
                </c:pt>
                <c:pt idx="8">
                  <c:v>-2813</c:v>
                </c:pt>
                <c:pt idx="9">
                  <c:v>-2806</c:v>
                </c:pt>
                <c:pt idx="10">
                  <c:v>-2667</c:v>
                </c:pt>
                <c:pt idx="11">
                  <c:v>-2477</c:v>
                </c:pt>
                <c:pt idx="12">
                  <c:v>-2474</c:v>
                </c:pt>
                <c:pt idx="13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-5.2599999980884604E-4</c:v>
                </c:pt>
                <c:pt idx="1">
                  <c:v>-0.12828000000445172</c:v>
                </c:pt>
                <c:pt idx="2">
                  <c:v>0.15194599999813363</c:v>
                </c:pt>
                <c:pt idx="3">
                  <c:v>0.26807799999733106</c:v>
                </c:pt>
                <c:pt idx="4">
                  <c:v>-0.16533400000480469</c:v>
                </c:pt>
                <c:pt idx="5">
                  <c:v>0.4322559999927762</c:v>
                </c:pt>
                <c:pt idx="6">
                  <c:v>0.1090659999899799</c:v>
                </c:pt>
                <c:pt idx="7">
                  <c:v>-1.3030000009166542E-2</c:v>
                </c:pt>
                <c:pt idx="8">
                  <c:v>0.27146199999697274</c:v>
                </c:pt>
                <c:pt idx="9">
                  <c:v>0.59904399999504676</c:v>
                </c:pt>
                <c:pt idx="10">
                  <c:v>0.10445799999433802</c:v>
                </c:pt>
                <c:pt idx="11">
                  <c:v>-0.15660200000274926</c:v>
                </c:pt>
                <c:pt idx="12">
                  <c:v>0.35807599999679951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4F-41D1-A05F-5948DE902A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-5251</c:v>
                </c:pt>
                <c:pt idx="1">
                  <c:v>-3980</c:v>
                </c:pt>
                <c:pt idx="2">
                  <c:v>-3979</c:v>
                </c:pt>
                <c:pt idx="3">
                  <c:v>-3797</c:v>
                </c:pt>
                <c:pt idx="4">
                  <c:v>-3759</c:v>
                </c:pt>
                <c:pt idx="5">
                  <c:v>-3044</c:v>
                </c:pt>
                <c:pt idx="6">
                  <c:v>-2859</c:v>
                </c:pt>
                <c:pt idx="7">
                  <c:v>-2855</c:v>
                </c:pt>
                <c:pt idx="8">
                  <c:v>-2813</c:v>
                </c:pt>
                <c:pt idx="9">
                  <c:v>-2806</c:v>
                </c:pt>
                <c:pt idx="10">
                  <c:v>-2667</c:v>
                </c:pt>
                <c:pt idx="11">
                  <c:v>-2477</c:v>
                </c:pt>
                <c:pt idx="12">
                  <c:v>-2474</c:v>
                </c:pt>
                <c:pt idx="13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4F-41D1-A05F-5948DE902A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-5251</c:v>
                </c:pt>
                <c:pt idx="1">
                  <c:v>-3980</c:v>
                </c:pt>
                <c:pt idx="2">
                  <c:v>-3979</c:v>
                </c:pt>
                <c:pt idx="3">
                  <c:v>-3797</c:v>
                </c:pt>
                <c:pt idx="4">
                  <c:v>-3759</c:v>
                </c:pt>
                <c:pt idx="5">
                  <c:v>-3044</c:v>
                </c:pt>
                <c:pt idx="6">
                  <c:v>-2859</c:v>
                </c:pt>
                <c:pt idx="7">
                  <c:v>-2855</c:v>
                </c:pt>
                <c:pt idx="8">
                  <c:v>-2813</c:v>
                </c:pt>
                <c:pt idx="9">
                  <c:v>-2806</c:v>
                </c:pt>
                <c:pt idx="10">
                  <c:v>-2667</c:v>
                </c:pt>
                <c:pt idx="11">
                  <c:v>-2477</c:v>
                </c:pt>
                <c:pt idx="12">
                  <c:v>-2474</c:v>
                </c:pt>
                <c:pt idx="13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4F-41D1-A05F-5948DE902A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-5251</c:v>
                </c:pt>
                <c:pt idx="1">
                  <c:v>-3980</c:v>
                </c:pt>
                <c:pt idx="2">
                  <c:v>-3979</c:v>
                </c:pt>
                <c:pt idx="3">
                  <c:v>-3797</c:v>
                </c:pt>
                <c:pt idx="4">
                  <c:v>-3759</c:v>
                </c:pt>
                <c:pt idx="5">
                  <c:v>-3044</c:v>
                </c:pt>
                <c:pt idx="6">
                  <c:v>-2859</c:v>
                </c:pt>
                <c:pt idx="7">
                  <c:v>-2855</c:v>
                </c:pt>
                <c:pt idx="8">
                  <c:v>-2813</c:v>
                </c:pt>
                <c:pt idx="9">
                  <c:v>-2806</c:v>
                </c:pt>
                <c:pt idx="10">
                  <c:v>-2667</c:v>
                </c:pt>
                <c:pt idx="11">
                  <c:v>-2477</c:v>
                </c:pt>
                <c:pt idx="12">
                  <c:v>-2474</c:v>
                </c:pt>
                <c:pt idx="13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4F-41D1-A05F-5948DE902A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-5251</c:v>
                </c:pt>
                <c:pt idx="1">
                  <c:v>-3980</c:v>
                </c:pt>
                <c:pt idx="2">
                  <c:v>-3979</c:v>
                </c:pt>
                <c:pt idx="3">
                  <c:v>-3797</c:v>
                </c:pt>
                <c:pt idx="4">
                  <c:v>-3759</c:v>
                </c:pt>
                <c:pt idx="5">
                  <c:v>-3044</c:v>
                </c:pt>
                <c:pt idx="6">
                  <c:v>-2859</c:v>
                </c:pt>
                <c:pt idx="7">
                  <c:v>-2855</c:v>
                </c:pt>
                <c:pt idx="8">
                  <c:v>-2813</c:v>
                </c:pt>
                <c:pt idx="9">
                  <c:v>-2806</c:v>
                </c:pt>
                <c:pt idx="10">
                  <c:v>-2667</c:v>
                </c:pt>
                <c:pt idx="11">
                  <c:v>-2477</c:v>
                </c:pt>
                <c:pt idx="12">
                  <c:v>-2474</c:v>
                </c:pt>
                <c:pt idx="13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4F-41D1-A05F-5948DE902A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-5251</c:v>
                </c:pt>
                <c:pt idx="1">
                  <c:v>-3980</c:v>
                </c:pt>
                <c:pt idx="2">
                  <c:v>-3979</c:v>
                </c:pt>
                <c:pt idx="3">
                  <c:v>-3797</c:v>
                </c:pt>
                <c:pt idx="4">
                  <c:v>-3759</c:v>
                </c:pt>
                <c:pt idx="5">
                  <c:v>-3044</c:v>
                </c:pt>
                <c:pt idx="6">
                  <c:v>-2859</c:v>
                </c:pt>
                <c:pt idx="7">
                  <c:v>-2855</c:v>
                </c:pt>
                <c:pt idx="8">
                  <c:v>-2813</c:v>
                </c:pt>
                <c:pt idx="9">
                  <c:v>-2806</c:v>
                </c:pt>
                <c:pt idx="10">
                  <c:v>-2667</c:v>
                </c:pt>
                <c:pt idx="11">
                  <c:v>-2477</c:v>
                </c:pt>
                <c:pt idx="12">
                  <c:v>-2474</c:v>
                </c:pt>
                <c:pt idx="13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4F-41D1-A05F-5948DE902A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-5251</c:v>
                </c:pt>
                <c:pt idx="1">
                  <c:v>-3980</c:v>
                </c:pt>
                <c:pt idx="2">
                  <c:v>-3979</c:v>
                </c:pt>
                <c:pt idx="3">
                  <c:v>-3797</c:v>
                </c:pt>
                <c:pt idx="4">
                  <c:v>-3759</c:v>
                </c:pt>
                <c:pt idx="5">
                  <c:v>-3044</c:v>
                </c:pt>
                <c:pt idx="6">
                  <c:v>-2859</c:v>
                </c:pt>
                <c:pt idx="7">
                  <c:v>-2855</c:v>
                </c:pt>
                <c:pt idx="8">
                  <c:v>-2813</c:v>
                </c:pt>
                <c:pt idx="9">
                  <c:v>-2806</c:v>
                </c:pt>
                <c:pt idx="10">
                  <c:v>-2667</c:v>
                </c:pt>
                <c:pt idx="11">
                  <c:v>-2477</c:v>
                </c:pt>
                <c:pt idx="12">
                  <c:v>-2474</c:v>
                </c:pt>
                <c:pt idx="13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4F-41D1-A05F-5948DE902A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-5251</c:v>
                </c:pt>
                <c:pt idx="1">
                  <c:v>-3980</c:v>
                </c:pt>
                <c:pt idx="2">
                  <c:v>-3979</c:v>
                </c:pt>
                <c:pt idx="3">
                  <c:v>-3797</c:v>
                </c:pt>
                <c:pt idx="4">
                  <c:v>-3759</c:v>
                </c:pt>
                <c:pt idx="5">
                  <c:v>-3044</c:v>
                </c:pt>
                <c:pt idx="6">
                  <c:v>-2859</c:v>
                </c:pt>
                <c:pt idx="7">
                  <c:v>-2855</c:v>
                </c:pt>
                <c:pt idx="8">
                  <c:v>-2813</c:v>
                </c:pt>
                <c:pt idx="9">
                  <c:v>-2806</c:v>
                </c:pt>
                <c:pt idx="10">
                  <c:v>-2667</c:v>
                </c:pt>
                <c:pt idx="11">
                  <c:v>-2477</c:v>
                </c:pt>
                <c:pt idx="12">
                  <c:v>-2474</c:v>
                </c:pt>
                <c:pt idx="13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9.4969862232912206E-2</c:v>
                </c:pt>
                <c:pt idx="1">
                  <c:v>0.11567732704453398</c:v>
                </c:pt>
                <c:pt idx="2">
                  <c:v>0.11569361930638419</c:v>
                </c:pt>
                <c:pt idx="3">
                  <c:v>0.11865881096312311</c:v>
                </c:pt>
                <c:pt idx="4">
                  <c:v>0.11927791691343123</c:v>
                </c:pt>
                <c:pt idx="5">
                  <c:v>0.13092688413633413</c:v>
                </c:pt>
                <c:pt idx="6">
                  <c:v>0.13394095257862368</c:v>
                </c:pt>
                <c:pt idx="7">
                  <c:v>0.13400612162602454</c:v>
                </c:pt>
                <c:pt idx="8">
                  <c:v>0.13469039662373353</c:v>
                </c:pt>
                <c:pt idx="9">
                  <c:v>0.13480444245668502</c:v>
                </c:pt>
                <c:pt idx="10">
                  <c:v>0.13706906685386475</c:v>
                </c:pt>
                <c:pt idx="11">
                  <c:v>0.14016459660540537</c:v>
                </c:pt>
                <c:pt idx="12">
                  <c:v>0.14021347339095602</c:v>
                </c:pt>
                <c:pt idx="13">
                  <c:v>0.18052052920838502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4F-41D1-A05F-5948DE902A4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-5251</c:v>
                </c:pt>
                <c:pt idx="1">
                  <c:v>-3980</c:v>
                </c:pt>
                <c:pt idx="2">
                  <c:v>-3979</c:v>
                </c:pt>
                <c:pt idx="3">
                  <c:v>-3797</c:v>
                </c:pt>
                <c:pt idx="4">
                  <c:v>-3759</c:v>
                </c:pt>
                <c:pt idx="5">
                  <c:v>-3044</c:v>
                </c:pt>
                <c:pt idx="6">
                  <c:v>-2859</c:v>
                </c:pt>
                <c:pt idx="7">
                  <c:v>-2855</c:v>
                </c:pt>
                <c:pt idx="8">
                  <c:v>-2813</c:v>
                </c:pt>
                <c:pt idx="9">
                  <c:v>-2806</c:v>
                </c:pt>
                <c:pt idx="10">
                  <c:v>-2667</c:v>
                </c:pt>
                <c:pt idx="11">
                  <c:v>-2477</c:v>
                </c:pt>
                <c:pt idx="12">
                  <c:v>-2474</c:v>
                </c:pt>
                <c:pt idx="13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4F-41D1-A05F-5948DE90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888376"/>
        <c:axId val="1"/>
      </c:scatterChart>
      <c:valAx>
        <c:axId val="736888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888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BCF747-2ADD-95CD-F162-FD24E6EA6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21" customFormat="1" ht="20.25" x14ac:dyDescent="0.2">
      <c r="A1" s="47" t="s">
        <v>50</v>
      </c>
      <c r="F1" s="20" t="s">
        <v>47</v>
      </c>
      <c r="G1" s="5">
        <v>20.362189999999998</v>
      </c>
      <c r="H1" s="6">
        <v>23.5151</v>
      </c>
      <c r="I1" s="7">
        <v>16293.463</v>
      </c>
      <c r="J1" s="7">
        <v>7.8018700000000001</v>
      </c>
      <c r="K1" s="4" t="s">
        <v>48</v>
      </c>
      <c r="L1" s="6"/>
      <c r="M1" s="7">
        <v>16293.463</v>
      </c>
      <c r="N1" s="7">
        <v>7.8018700000000001</v>
      </c>
      <c r="O1" s="6" t="s">
        <v>48</v>
      </c>
    </row>
    <row r="2" spans="1:15" s="21" customFormat="1" ht="12.95" customHeight="1" x14ac:dyDescent="0.2">
      <c r="A2" s="21" t="s">
        <v>23</v>
      </c>
      <c r="B2" s="21" t="s">
        <v>48</v>
      </c>
      <c r="C2" s="22"/>
      <c r="D2" s="23"/>
    </row>
    <row r="3" spans="1:15" s="21" customFormat="1" ht="12.95" customHeight="1" thickBot="1" x14ac:dyDescent="0.25"/>
    <row r="4" spans="1:15" s="21" customFormat="1" ht="12.95" customHeight="1" thickTop="1" thickBot="1" x14ac:dyDescent="0.25">
      <c r="A4" s="24" t="s">
        <v>0</v>
      </c>
      <c r="C4" s="25">
        <v>16293.463</v>
      </c>
      <c r="D4" s="26">
        <v>7.8018700000000001</v>
      </c>
    </row>
    <row r="5" spans="1:15" s="21" customFormat="1" ht="12.95" customHeight="1" thickTop="1" x14ac:dyDescent="0.2">
      <c r="A5" s="27" t="s">
        <v>28</v>
      </c>
      <c r="C5" s="28">
        <v>-9.5</v>
      </c>
      <c r="D5" s="21" t="s">
        <v>29</v>
      </c>
    </row>
    <row r="6" spans="1:15" s="21" customFormat="1" ht="12.95" customHeight="1" x14ac:dyDescent="0.2">
      <c r="A6" s="24" t="s">
        <v>1</v>
      </c>
    </row>
    <row r="7" spans="1:15" s="21" customFormat="1" ht="12.95" customHeight="1" x14ac:dyDescent="0.2">
      <c r="A7" s="21" t="s">
        <v>2</v>
      </c>
      <c r="C7" s="48">
        <v>57260.578800000003</v>
      </c>
      <c r="D7" s="30" t="s">
        <v>99</v>
      </c>
    </row>
    <row r="8" spans="1:15" s="21" customFormat="1" ht="12.95" customHeight="1" x14ac:dyDescent="0.2">
      <c r="A8" s="21" t="s">
        <v>3</v>
      </c>
      <c r="C8" s="48">
        <v>7.801774</v>
      </c>
      <c r="D8" s="30" t="s">
        <v>99</v>
      </c>
    </row>
    <row r="9" spans="1:15" s="21" customFormat="1" ht="12.95" customHeight="1" x14ac:dyDescent="0.2">
      <c r="A9" s="31" t="s">
        <v>31</v>
      </c>
      <c r="C9" s="49">
        <v>21</v>
      </c>
      <c r="D9" s="32" t="str">
        <f>"F"&amp;C9</f>
        <v>F21</v>
      </c>
      <c r="E9" s="33" t="str">
        <f>"G"&amp;C9</f>
        <v>G21</v>
      </c>
    </row>
    <row r="10" spans="1:15" s="21" customFormat="1" ht="12.95" customHeight="1" thickBot="1" x14ac:dyDescent="0.25">
      <c r="C10" s="34" t="s">
        <v>19</v>
      </c>
      <c r="D10" s="34" t="s">
        <v>20</v>
      </c>
    </row>
    <row r="11" spans="1:15" s="21" customFormat="1" ht="12.95" customHeight="1" x14ac:dyDescent="0.2">
      <c r="A11" s="21" t="s">
        <v>15</v>
      </c>
      <c r="C11" s="33">
        <f ca="1">INTERCEPT(INDIRECT($E$9):G992,INDIRECT($D$9):F992)</f>
        <v>0.18052052920838502</v>
      </c>
      <c r="D11" s="23"/>
    </row>
    <row r="12" spans="1:15" s="21" customFormat="1" ht="12.95" customHeight="1" x14ac:dyDescent="0.2">
      <c r="A12" s="21" t="s">
        <v>16</v>
      </c>
      <c r="C12" s="33">
        <f ca="1">SLOPE(INDIRECT($E$9):G992,INDIRECT($D$9):F992)</f>
        <v>1.6292261850213827E-5</v>
      </c>
      <c r="D12" s="23"/>
      <c r="E12" s="51" t="s">
        <v>95</v>
      </c>
      <c r="F12" s="52" t="s">
        <v>98</v>
      </c>
    </row>
    <row r="13" spans="1:15" s="21" customFormat="1" ht="12.95" customHeight="1" x14ac:dyDescent="0.2">
      <c r="A13" s="21" t="s">
        <v>18</v>
      </c>
      <c r="C13" s="23" t="s">
        <v>13</v>
      </c>
      <c r="E13" s="53" t="s">
        <v>33</v>
      </c>
      <c r="F13" s="54">
        <v>1</v>
      </c>
    </row>
    <row r="14" spans="1:15" s="21" customFormat="1" ht="12.95" customHeight="1" x14ac:dyDescent="0.2">
      <c r="E14" s="53" t="s">
        <v>30</v>
      </c>
      <c r="F14" s="55">
        <f ca="1">NOW()+15018.5+$C$5/24</f>
        <v>60520.722792476852</v>
      </c>
    </row>
    <row r="15" spans="1:15" s="21" customFormat="1" ht="12.95" customHeight="1" x14ac:dyDescent="0.2">
      <c r="A15" s="35" t="s">
        <v>17</v>
      </c>
      <c r="C15" s="36">
        <f ca="1">(C7+C11)+(C8+C12)*INT(MAX(F21:F3533))</f>
        <v>57260.759320529214</v>
      </c>
      <c r="E15" s="53" t="s">
        <v>34</v>
      </c>
      <c r="F15" s="55">
        <f ca="1">ROUND(2*(F14-$C$7)/$C$8,0)/2+F13</f>
        <v>419</v>
      </c>
    </row>
    <row r="16" spans="1:15" s="21" customFormat="1" ht="12.95" customHeight="1" x14ac:dyDescent="0.2">
      <c r="A16" s="24" t="s">
        <v>4</v>
      </c>
      <c r="C16" s="38">
        <f ca="1">+C8+C12</f>
        <v>7.8017902922618498</v>
      </c>
      <c r="E16" s="53" t="s">
        <v>35</v>
      </c>
      <c r="F16" s="55">
        <f ca="1">ROUND(2*(F14-$C$15)/$C$16,0)/2+F13</f>
        <v>419</v>
      </c>
    </row>
    <row r="17" spans="1:21" s="21" customFormat="1" ht="12.95" customHeight="1" thickBot="1" x14ac:dyDescent="0.25">
      <c r="A17" s="37" t="s">
        <v>27</v>
      </c>
      <c r="C17" s="21">
        <f>COUNT(C21:C2191)</f>
        <v>14</v>
      </c>
      <c r="E17" s="53" t="s">
        <v>97</v>
      </c>
      <c r="F17" s="56">
        <f ca="1">+$C$15+$C$16*$F$16-15018.5-$C$5/24</f>
        <v>45511.605286320264</v>
      </c>
    </row>
    <row r="18" spans="1:21" s="21" customFormat="1" ht="12.95" customHeight="1" thickTop="1" thickBot="1" x14ac:dyDescent="0.25">
      <c r="A18" s="24" t="s">
        <v>5</v>
      </c>
      <c r="C18" s="39">
        <f ca="1">+C15</f>
        <v>57260.759320529214</v>
      </c>
      <c r="D18" s="40">
        <f ca="1">+C16</f>
        <v>7.8017902922618498</v>
      </c>
      <c r="E18" s="58" t="s">
        <v>96</v>
      </c>
      <c r="F18" s="57">
        <f ca="1">+($C$15+$C$16*$F$16)-($C$16/2)-15018.5-$C$5/24</f>
        <v>45507.704391174135</v>
      </c>
    </row>
    <row r="19" spans="1:21" s="21" customFormat="1" ht="12.95" customHeight="1" thickTop="1" x14ac:dyDescent="0.2"/>
    <row r="20" spans="1:21" s="21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41" t="s">
        <v>36</v>
      </c>
      <c r="I20" s="41" t="s">
        <v>37</v>
      </c>
      <c r="J20" s="41" t="s">
        <v>38</v>
      </c>
      <c r="K20" s="41" t="s">
        <v>39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4" t="s">
        <v>14</v>
      </c>
      <c r="U20" s="43" t="s">
        <v>32</v>
      </c>
    </row>
    <row r="21" spans="1:21" s="21" customFormat="1" ht="12.95" customHeight="1" x14ac:dyDescent="0.2">
      <c r="A21" s="21" t="s">
        <v>49</v>
      </c>
      <c r="C21" s="29">
        <v>16293.463</v>
      </c>
      <c r="D21" s="29" t="s">
        <v>13</v>
      </c>
      <c r="E21" s="21">
        <f t="shared" ref="E21:E34" si="0">+(C21-C$7)/C$8</f>
        <v>-5251.0000674205639</v>
      </c>
      <c r="F21" s="21">
        <f t="shared" ref="F21:F34" si="1">ROUND(2*E21,0)/2</f>
        <v>-5251</v>
      </c>
      <c r="G21" s="21">
        <f t="shared" ref="G21:G34" si="2">+C21-(C$7+F21*C$8)</f>
        <v>-5.2599999980884604E-4</v>
      </c>
      <c r="H21" s="21">
        <f t="shared" ref="H21:H34" si="3">+G21</f>
        <v>-5.2599999980884604E-4</v>
      </c>
      <c r="O21" s="21">
        <f t="shared" ref="O21:O34" ca="1" si="4">+C$11+C$12*$F21</f>
        <v>9.4969862232912206E-2</v>
      </c>
      <c r="Q21" s="44">
        <f t="shared" ref="Q21:Q34" si="5">+C21-15018.5</f>
        <v>1274.9629999999997</v>
      </c>
    </row>
    <row r="22" spans="1:21" s="21" customFormat="1" ht="12.95" customHeight="1" x14ac:dyDescent="0.2">
      <c r="A22" s="50" t="s">
        <v>56</v>
      </c>
      <c r="B22" s="45" t="s">
        <v>94</v>
      </c>
      <c r="C22" s="46">
        <v>26209.39</v>
      </c>
      <c r="D22" s="29"/>
      <c r="E22" s="21">
        <f t="shared" si="0"/>
        <v>-3980.0164424142513</v>
      </c>
      <c r="F22" s="21">
        <f t="shared" si="1"/>
        <v>-3980</v>
      </c>
      <c r="G22" s="21">
        <f t="shared" si="2"/>
        <v>-0.12828000000445172</v>
      </c>
      <c r="H22" s="21">
        <f t="shared" si="3"/>
        <v>-0.12828000000445172</v>
      </c>
      <c r="O22" s="21">
        <f t="shared" ca="1" si="4"/>
        <v>0.11567732704453398</v>
      </c>
      <c r="Q22" s="44">
        <f t="shared" si="5"/>
        <v>11190.89</v>
      </c>
    </row>
    <row r="23" spans="1:21" s="21" customFormat="1" ht="12.95" customHeight="1" x14ac:dyDescent="0.2">
      <c r="A23" s="50" t="s">
        <v>56</v>
      </c>
      <c r="B23" s="45" t="s">
        <v>94</v>
      </c>
      <c r="C23" s="46">
        <v>26217.472000000002</v>
      </c>
      <c r="D23" s="29"/>
      <c r="E23" s="21">
        <f t="shared" si="0"/>
        <v>-3978.9805241730919</v>
      </c>
      <c r="F23" s="21">
        <f t="shared" si="1"/>
        <v>-3979</v>
      </c>
      <c r="G23" s="21">
        <f t="shared" si="2"/>
        <v>0.15194599999813363</v>
      </c>
      <c r="H23" s="21">
        <f t="shared" si="3"/>
        <v>0.15194599999813363</v>
      </c>
      <c r="O23" s="21">
        <f t="shared" ca="1" si="4"/>
        <v>0.11569361930638419</v>
      </c>
      <c r="Q23" s="44">
        <f t="shared" si="5"/>
        <v>11198.972000000002</v>
      </c>
    </row>
    <row r="24" spans="1:21" s="21" customFormat="1" ht="12.95" customHeight="1" x14ac:dyDescent="0.2">
      <c r="A24" s="50" t="s">
        <v>56</v>
      </c>
      <c r="B24" s="45" t="s">
        <v>94</v>
      </c>
      <c r="C24" s="46">
        <v>27637.510999999999</v>
      </c>
      <c r="D24" s="29"/>
      <c r="E24" s="21">
        <f t="shared" si="0"/>
        <v>-3796.9656388406029</v>
      </c>
      <c r="F24" s="21">
        <f t="shared" si="1"/>
        <v>-3797</v>
      </c>
      <c r="G24" s="21">
        <f t="shared" si="2"/>
        <v>0.26807799999733106</v>
      </c>
      <c r="H24" s="21">
        <f t="shared" si="3"/>
        <v>0.26807799999733106</v>
      </c>
      <c r="O24" s="21">
        <f t="shared" ca="1" si="4"/>
        <v>0.11865881096312311</v>
      </c>
      <c r="Q24" s="44">
        <f t="shared" si="5"/>
        <v>12619.010999999999</v>
      </c>
    </row>
    <row r="25" spans="1:21" s="21" customFormat="1" ht="12.95" customHeight="1" x14ac:dyDescent="0.2">
      <c r="A25" s="50" t="s">
        <v>56</v>
      </c>
      <c r="B25" s="45" t="s">
        <v>94</v>
      </c>
      <c r="C25" s="46">
        <v>27933.544999999998</v>
      </c>
      <c r="D25" s="29"/>
      <c r="E25" s="21">
        <f t="shared" si="0"/>
        <v>-3759.0211918468804</v>
      </c>
      <c r="F25" s="21">
        <f t="shared" si="1"/>
        <v>-3759</v>
      </c>
      <c r="G25" s="21">
        <f t="shared" si="2"/>
        <v>-0.16533400000480469</v>
      </c>
      <c r="H25" s="21">
        <f t="shared" si="3"/>
        <v>-0.16533400000480469</v>
      </c>
      <c r="O25" s="21">
        <f t="shared" ca="1" si="4"/>
        <v>0.11927791691343123</v>
      </c>
      <c r="Q25" s="44">
        <f t="shared" si="5"/>
        <v>12915.044999999998</v>
      </c>
    </row>
    <row r="26" spans="1:21" s="21" customFormat="1" ht="12.95" customHeight="1" x14ac:dyDescent="0.2">
      <c r="A26" s="50" t="s">
        <v>56</v>
      </c>
      <c r="B26" s="45" t="s">
        <v>94</v>
      </c>
      <c r="C26" s="46">
        <v>33512.411</v>
      </c>
      <c r="D26" s="29"/>
      <c r="E26" s="21">
        <f t="shared" si="0"/>
        <v>-3043.9445951651514</v>
      </c>
      <c r="F26" s="21">
        <f t="shared" si="1"/>
        <v>-3044</v>
      </c>
      <c r="G26" s="21">
        <f t="shared" si="2"/>
        <v>0.4322559999927762</v>
      </c>
      <c r="H26" s="21">
        <f t="shared" si="3"/>
        <v>0.4322559999927762</v>
      </c>
      <c r="O26" s="21">
        <f t="shared" ca="1" si="4"/>
        <v>0.13092688413633413</v>
      </c>
      <c r="Q26" s="44">
        <f t="shared" si="5"/>
        <v>18493.911</v>
      </c>
    </row>
    <row r="27" spans="1:21" s="21" customFormat="1" ht="12.95" customHeight="1" x14ac:dyDescent="0.2">
      <c r="A27" s="50" t="s">
        <v>56</v>
      </c>
      <c r="B27" s="45" t="s">
        <v>94</v>
      </c>
      <c r="C27" s="46">
        <v>34955.415999999997</v>
      </c>
      <c r="D27" s="29"/>
      <c r="E27" s="21">
        <f t="shared" si="0"/>
        <v>-2858.9860203589601</v>
      </c>
      <c r="F27" s="21">
        <f t="shared" si="1"/>
        <v>-2859</v>
      </c>
      <c r="G27" s="21">
        <f t="shared" si="2"/>
        <v>0.1090659999899799</v>
      </c>
      <c r="H27" s="21">
        <f t="shared" si="3"/>
        <v>0.1090659999899799</v>
      </c>
      <c r="O27" s="21">
        <f t="shared" ca="1" si="4"/>
        <v>0.13394095257862368</v>
      </c>
      <c r="Q27" s="44">
        <f t="shared" si="5"/>
        <v>19936.915999999997</v>
      </c>
    </row>
    <row r="28" spans="1:21" s="21" customFormat="1" ht="12.95" customHeight="1" x14ac:dyDescent="0.2">
      <c r="A28" s="50" t="s">
        <v>56</v>
      </c>
      <c r="B28" s="45" t="s">
        <v>94</v>
      </c>
      <c r="C28" s="46">
        <v>34986.500999999997</v>
      </c>
      <c r="D28" s="29"/>
      <c r="E28" s="21">
        <f t="shared" si="0"/>
        <v>-2855.0016701329732</v>
      </c>
      <c r="F28" s="21">
        <f t="shared" si="1"/>
        <v>-2855</v>
      </c>
      <c r="G28" s="21">
        <f t="shared" si="2"/>
        <v>-1.3030000009166542E-2</v>
      </c>
      <c r="H28" s="21">
        <f t="shared" si="3"/>
        <v>-1.3030000009166542E-2</v>
      </c>
      <c r="O28" s="21">
        <f t="shared" ca="1" si="4"/>
        <v>0.13400612162602454</v>
      </c>
      <c r="Q28" s="44">
        <f t="shared" si="5"/>
        <v>19968.000999999997</v>
      </c>
    </row>
    <row r="29" spans="1:21" s="21" customFormat="1" ht="12.95" customHeight="1" x14ac:dyDescent="0.2">
      <c r="A29" s="50" t="s">
        <v>56</v>
      </c>
      <c r="B29" s="45" t="s">
        <v>94</v>
      </c>
      <c r="C29" s="46">
        <v>35314.46</v>
      </c>
      <c r="D29" s="29"/>
      <c r="E29" s="21">
        <f t="shared" si="0"/>
        <v>-2812.9652050930986</v>
      </c>
      <c r="F29" s="21">
        <f t="shared" si="1"/>
        <v>-2813</v>
      </c>
      <c r="G29" s="21">
        <f t="shared" si="2"/>
        <v>0.27146199999697274</v>
      </c>
      <c r="H29" s="21">
        <f t="shared" si="3"/>
        <v>0.27146199999697274</v>
      </c>
      <c r="O29" s="21">
        <f t="shared" ca="1" si="4"/>
        <v>0.13469039662373353</v>
      </c>
      <c r="Q29" s="44">
        <f t="shared" si="5"/>
        <v>20295.96</v>
      </c>
    </row>
    <row r="30" spans="1:21" s="21" customFormat="1" ht="12.95" customHeight="1" x14ac:dyDescent="0.2">
      <c r="A30" s="50" t="s">
        <v>56</v>
      </c>
      <c r="B30" s="45" t="s">
        <v>94</v>
      </c>
      <c r="C30" s="46">
        <v>35369.4</v>
      </c>
      <c r="D30" s="29"/>
      <c r="E30" s="21">
        <f t="shared" si="0"/>
        <v>-2805.9232169504016</v>
      </c>
      <c r="F30" s="21">
        <f t="shared" si="1"/>
        <v>-2806</v>
      </c>
      <c r="G30" s="21">
        <f t="shared" si="2"/>
        <v>0.59904399999504676</v>
      </c>
      <c r="H30" s="21">
        <f t="shared" si="3"/>
        <v>0.59904399999504676</v>
      </c>
      <c r="O30" s="21">
        <f t="shared" ca="1" si="4"/>
        <v>0.13480444245668502</v>
      </c>
      <c r="Q30" s="44">
        <f t="shared" si="5"/>
        <v>20350.900000000001</v>
      </c>
    </row>
    <row r="31" spans="1:21" s="21" customFormat="1" ht="12.95" customHeight="1" x14ac:dyDescent="0.2">
      <c r="A31" s="50" t="s">
        <v>56</v>
      </c>
      <c r="B31" s="45" t="s">
        <v>94</v>
      </c>
      <c r="C31" s="46">
        <v>36453.351999999999</v>
      </c>
      <c r="D31" s="29"/>
      <c r="E31" s="21">
        <f t="shared" si="0"/>
        <v>-2666.9866109938589</v>
      </c>
      <c r="F31" s="21">
        <f t="shared" si="1"/>
        <v>-2667</v>
      </c>
      <c r="G31" s="21">
        <f t="shared" si="2"/>
        <v>0.10445799999433802</v>
      </c>
      <c r="H31" s="21">
        <f t="shared" si="3"/>
        <v>0.10445799999433802</v>
      </c>
      <c r="O31" s="21">
        <f t="shared" ca="1" si="4"/>
        <v>0.13706906685386475</v>
      </c>
      <c r="Q31" s="44">
        <f t="shared" si="5"/>
        <v>21434.851999999999</v>
      </c>
    </row>
    <row r="32" spans="1:21" s="21" customFormat="1" ht="12.95" customHeight="1" x14ac:dyDescent="0.2">
      <c r="A32" s="50" t="s">
        <v>56</v>
      </c>
      <c r="B32" s="45" t="s">
        <v>94</v>
      </c>
      <c r="C32" s="46">
        <v>37935.428</v>
      </c>
      <c r="D32" s="29"/>
      <c r="E32" s="21">
        <f t="shared" si="0"/>
        <v>-2477.0200726142543</v>
      </c>
      <c r="F32" s="21">
        <f t="shared" si="1"/>
        <v>-2477</v>
      </c>
      <c r="G32" s="21">
        <f t="shared" si="2"/>
        <v>-0.15660200000274926</v>
      </c>
      <c r="H32" s="21">
        <f t="shared" si="3"/>
        <v>-0.15660200000274926</v>
      </c>
      <c r="O32" s="21">
        <f t="shared" ca="1" si="4"/>
        <v>0.14016459660540537</v>
      </c>
      <c r="Q32" s="44">
        <f t="shared" si="5"/>
        <v>22916.928</v>
      </c>
    </row>
    <row r="33" spans="1:17" s="21" customFormat="1" ht="12.95" customHeight="1" x14ac:dyDescent="0.2">
      <c r="A33" s="50" t="s">
        <v>56</v>
      </c>
      <c r="B33" s="45" t="s">
        <v>94</v>
      </c>
      <c r="C33" s="46">
        <v>37959.347999999998</v>
      </c>
      <c r="D33" s="29"/>
      <c r="E33" s="21">
        <f t="shared" si="0"/>
        <v>-2473.9541032590801</v>
      </c>
      <c r="F33" s="21">
        <f t="shared" si="1"/>
        <v>-2474</v>
      </c>
      <c r="G33" s="21">
        <f t="shared" si="2"/>
        <v>0.35807599999679951</v>
      </c>
      <c r="H33" s="21">
        <f t="shared" si="3"/>
        <v>0.35807599999679951</v>
      </c>
      <c r="O33" s="21">
        <f t="shared" ca="1" si="4"/>
        <v>0.14021347339095602</v>
      </c>
      <c r="Q33" s="44">
        <f t="shared" si="5"/>
        <v>22940.847999999998</v>
      </c>
    </row>
    <row r="34" spans="1:17" s="21" customFormat="1" ht="12.95" customHeight="1" x14ac:dyDescent="0.2">
      <c r="A34" s="21" t="str">
        <f>$D$7</f>
        <v>VSX</v>
      </c>
      <c r="B34" s="23"/>
      <c r="C34" s="29">
        <f>$C$7</f>
        <v>57260.578800000003</v>
      </c>
      <c r="D34" s="29"/>
      <c r="E34" s="21">
        <f t="shared" si="0"/>
        <v>0</v>
      </c>
      <c r="F34" s="21">
        <f t="shared" si="1"/>
        <v>0</v>
      </c>
      <c r="G34" s="21">
        <f t="shared" si="2"/>
        <v>0</v>
      </c>
      <c r="H34" s="21">
        <f t="shared" si="3"/>
        <v>0</v>
      </c>
      <c r="O34" s="21">
        <f t="shared" ca="1" si="4"/>
        <v>0.18052052920838502</v>
      </c>
      <c r="Q34" s="44">
        <f t="shared" si="5"/>
        <v>42242.078800000003</v>
      </c>
    </row>
    <row r="35" spans="1:17" s="21" customFormat="1" ht="12.95" customHeight="1" x14ac:dyDescent="0.2">
      <c r="B35" s="23"/>
      <c r="C35" s="29"/>
      <c r="D35" s="29"/>
    </row>
    <row r="36" spans="1:17" x14ac:dyDescent="0.2">
      <c r="C36" s="2"/>
      <c r="D36" s="2"/>
    </row>
    <row r="37" spans="1:17" x14ac:dyDescent="0.2">
      <c r="C37" s="2"/>
      <c r="D37" s="2"/>
    </row>
    <row r="38" spans="1:17" x14ac:dyDescent="0.2">
      <c r="C38" s="2"/>
      <c r="D38" s="2"/>
    </row>
    <row r="39" spans="1:17" x14ac:dyDescent="0.2">
      <c r="C39" s="2"/>
      <c r="D39" s="2"/>
    </row>
    <row r="40" spans="1:17" x14ac:dyDescent="0.2">
      <c r="C40" s="2"/>
      <c r="D40" s="2"/>
    </row>
    <row r="41" spans="1:17" x14ac:dyDescent="0.2">
      <c r="C41" s="2"/>
      <c r="D41" s="2"/>
    </row>
    <row r="42" spans="1:17" x14ac:dyDescent="0.2">
      <c r="C42" s="2"/>
      <c r="D42" s="2"/>
    </row>
    <row r="43" spans="1:17" x14ac:dyDescent="0.2">
      <c r="C43" s="2"/>
      <c r="D43" s="2"/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R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4"/>
  <sheetViews>
    <sheetView workbookViewId="0">
      <selection activeCell="A12" sqref="A12:C23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8" t="s">
        <v>40</v>
      </c>
      <c r="I1" s="9" t="s">
        <v>41</v>
      </c>
      <c r="J1" s="10" t="s">
        <v>39</v>
      </c>
    </row>
    <row r="2" spans="1:16" x14ac:dyDescent="0.2">
      <c r="I2" s="11" t="s">
        <v>42</v>
      </c>
      <c r="J2" s="12" t="s">
        <v>38</v>
      </c>
    </row>
    <row r="3" spans="1:16" x14ac:dyDescent="0.2">
      <c r="A3" s="13" t="s">
        <v>43</v>
      </c>
      <c r="I3" s="11" t="s">
        <v>44</v>
      </c>
      <c r="J3" s="12" t="s">
        <v>36</v>
      </c>
    </row>
    <row r="4" spans="1:16" x14ac:dyDescent="0.2">
      <c r="I4" s="11" t="s">
        <v>45</v>
      </c>
      <c r="J4" s="12" t="s">
        <v>36</v>
      </c>
    </row>
    <row r="5" spans="1:16" ht="13.5" thickBot="1" x14ac:dyDescent="0.25">
      <c r="I5" s="14" t="s">
        <v>46</v>
      </c>
      <c r="J5" s="15" t="s">
        <v>37</v>
      </c>
    </row>
    <row r="10" spans="1:16" ht="13.5" thickBot="1" x14ac:dyDescent="0.25"/>
    <row r="11" spans="1:16" ht="12.75" customHeight="1" thickBot="1" x14ac:dyDescent="0.25">
      <c r="A11" s="2" t="str">
        <f t="shared" ref="A11:A23" si="0">P11</f>
        <v> MVS 3.23 </v>
      </c>
      <c r="B11" s="1" t="str">
        <f t="shared" ref="B11:B23" si="1">IF(H11=INT(H11),"I","II")</f>
        <v>I</v>
      </c>
      <c r="C11" s="2">
        <f t="shared" ref="C11:C23" si="2">1*G11</f>
        <v>16293.463</v>
      </c>
      <c r="D11" s="3" t="str">
        <f t="shared" ref="D11:D23" si="3">VLOOKUP(F11,I$1:J$5,2,FALSE)</f>
        <v>vis</v>
      </c>
      <c r="E11" s="16">
        <f>VLOOKUP(C11,Active!C$21:E$973,3,FALSE)</f>
        <v>-5251.0000674205639</v>
      </c>
      <c r="F11" s="1" t="s">
        <v>46</v>
      </c>
      <c r="G11" s="3" t="str">
        <f t="shared" ref="G11:G23" si="4">MID(I11,3,LEN(I11)-3)</f>
        <v>16293.463</v>
      </c>
      <c r="H11" s="2">
        <f t="shared" ref="H11:H23" si="5">1*K11</f>
        <v>0</v>
      </c>
      <c r="I11" s="17" t="s">
        <v>51</v>
      </c>
      <c r="J11" s="18" t="s">
        <v>52</v>
      </c>
      <c r="K11" s="17">
        <v>0</v>
      </c>
      <c r="L11" s="17" t="s">
        <v>53</v>
      </c>
      <c r="M11" s="18" t="s">
        <v>54</v>
      </c>
      <c r="N11" s="18"/>
      <c r="O11" s="19" t="s">
        <v>55</v>
      </c>
      <c r="P11" s="19" t="s">
        <v>56</v>
      </c>
    </row>
    <row r="12" spans="1:16" ht="12.75" customHeight="1" thickBot="1" x14ac:dyDescent="0.25">
      <c r="A12" s="2" t="str">
        <f t="shared" si="0"/>
        <v> MVS 3.23 </v>
      </c>
      <c r="B12" s="1" t="str">
        <f t="shared" si="1"/>
        <v>I</v>
      </c>
      <c r="C12" s="2">
        <f t="shared" si="2"/>
        <v>26209.39</v>
      </c>
      <c r="D12" s="3" t="str">
        <f t="shared" si="3"/>
        <v>vis</v>
      </c>
      <c r="E12" s="16">
        <f>VLOOKUP(C12,Active!C$21:E$973,3,FALSE)</f>
        <v>-3980.0164424142513</v>
      </c>
      <c r="F12" s="1" t="s">
        <v>46</v>
      </c>
      <c r="G12" s="3" t="str">
        <f t="shared" si="4"/>
        <v>26209.390</v>
      </c>
      <c r="H12" s="2">
        <f t="shared" si="5"/>
        <v>1271</v>
      </c>
      <c r="I12" s="17" t="s">
        <v>57</v>
      </c>
      <c r="J12" s="18" t="s">
        <v>58</v>
      </c>
      <c r="K12" s="17">
        <v>1271</v>
      </c>
      <c r="L12" s="17" t="s">
        <v>59</v>
      </c>
      <c r="M12" s="18" t="s">
        <v>54</v>
      </c>
      <c r="N12" s="18"/>
      <c r="O12" s="19" t="s">
        <v>60</v>
      </c>
      <c r="P12" s="19" t="s">
        <v>56</v>
      </c>
    </row>
    <row r="13" spans="1:16" ht="12.75" customHeight="1" thickBot="1" x14ac:dyDescent="0.25">
      <c r="A13" s="2" t="str">
        <f t="shared" si="0"/>
        <v> MVS 3.23 </v>
      </c>
      <c r="B13" s="1" t="str">
        <f t="shared" si="1"/>
        <v>I</v>
      </c>
      <c r="C13" s="2">
        <f t="shared" si="2"/>
        <v>26217.472000000002</v>
      </c>
      <c r="D13" s="3" t="str">
        <f t="shared" si="3"/>
        <v>vis</v>
      </c>
      <c r="E13" s="16">
        <f>VLOOKUP(C13,Active!C$21:E$973,3,FALSE)</f>
        <v>-3978.9805241730919</v>
      </c>
      <c r="F13" s="1" t="s">
        <v>46</v>
      </c>
      <c r="G13" s="3" t="str">
        <f t="shared" si="4"/>
        <v>26217.472</v>
      </c>
      <c r="H13" s="2">
        <f t="shared" si="5"/>
        <v>1272</v>
      </c>
      <c r="I13" s="17" t="s">
        <v>61</v>
      </c>
      <c r="J13" s="18" t="s">
        <v>62</v>
      </c>
      <c r="K13" s="17">
        <v>1272</v>
      </c>
      <c r="L13" s="17" t="s">
        <v>63</v>
      </c>
      <c r="M13" s="18" t="s">
        <v>54</v>
      </c>
      <c r="N13" s="18"/>
      <c r="O13" s="19" t="s">
        <v>60</v>
      </c>
      <c r="P13" s="19" t="s">
        <v>56</v>
      </c>
    </row>
    <row r="14" spans="1:16" ht="12.75" customHeight="1" thickBot="1" x14ac:dyDescent="0.25">
      <c r="A14" s="2" t="str">
        <f t="shared" si="0"/>
        <v> MVS 3.23 </v>
      </c>
      <c r="B14" s="1" t="str">
        <f t="shared" si="1"/>
        <v>I</v>
      </c>
      <c r="C14" s="2">
        <f t="shared" si="2"/>
        <v>27637.510999999999</v>
      </c>
      <c r="D14" s="3" t="str">
        <f t="shared" si="3"/>
        <v>vis</v>
      </c>
      <c r="E14" s="16">
        <f>VLOOKUP(C14,Active!C$21:E$973,3,FALSE)</f>
        <v>-3796.9656388406029</v>
      </c>
      <c r="F14" s="1" t="s">
        <v>46</v>
      </c>
      <c r="G14" s="3" t="str">
        <f t="shared" si="4"/>
        <v>27637.511</v>
      </c>
      <c r="H14" s="2">
        <f t="shared" si="5"/>
        <v>1454</v>
      </c>
      <c r="I14" s="17" t="s">
        <v>64</v>
      </c>
      <c r="J14" s="18" t="s">
        <v>65</v>
      </c>
      <c r="K14" s="17">
        <v>1454</v>
      </c>
      <c r="L14" s="17" t="s">
        <v>66</v>
      </c>
      <c r="M14" s="18" t="s">
        <v>54</v>
      </c>
      <c r="N14" s="18"/>
      <c r="O14" s="19" t="s">
        <v>60</v>
      </c>
      <c r="P14" s="19" t="s">
        <v>56</v>
      </c>
    </row>
    <row r="15" spans="1:16" ht="12.75" customHeight="1" thickBot="1" x14ac:dyDescent="0.25">
      <c r="A15" s="2" t="str">
        <f t="shared" si="0"/>
        <v> MVS 3.23 </v>
      </c>
      <c r="B15" s="1" t="str">
        <f t="shared" si="1"/>
        <v>I</v>
      </c>
      <c r="C15" s="2">
        <f t="shared" si="2"/>
        <v>27933.544999999998</v>
      </c>
      <c r="D15" s="3" t="str">
        <f t="shared" si="3"/>
        <v>vis</v>
      </c>
      <c r="E15" s="16">
        <f>VLOOKUP(C15,Active!C$21:E$973,3,FALSE)</f>
        <v>-3759.0211918468804</v>
      </c>
      <c r="F15" s="1" t="s">
        <v>46</v>
      </c>
      <c r="G15" s="3" t="str">
        <f t="shared" si="4"/>
        <v>27933.545</v>
      </c>
      <c r="H15" s="2">
        <f t="shared" si="5"/>
        <v>1492</v>
      </c>
      <c r="I15" s="17" t="s">
        <v>67</v>
      </c>
      <c r="J15" s="18" t="s">
        <v>68</v>
      </c>
      <c r="K15" s="17">
        <v>1492</v>
      </c>
      <c r="L15" s="17" t="s">
        <v>69</v>
      </c>
      <c r="M15" s="18" t="s">
        <v>54</v>
      </c>
      <c r="N15" s="18"/>
      <c r="O15" s="19" t="s">
        <v>60</v>
      </c>
      <c r="P15" s="19" t="s">
        <v>56</v>
      </c>
    </row>
    <row r="16" spans="1:16" ht="12.75" customHeight="1" thickBot="1" x14ac:dyDescent="0.25">
      <c r="A16" s="2" t="str">
        <f t="shared" si="0"/>
        <v> MVS 3.23 </v>
      </c>
      <c r="B16" s="1" t="str">
        <f t="shared" si="1"/>
        <v>I</v>
      </c>
      <c r="C16" s="2">
        <f t="shared" si="2"/>
        <v>33512.411</v>
      </c>
      <c r="D16" s="3" t="str">
        <f t="shared" si="3"/>
        <v>vis</v>
      </c>
      <c r="E16" s="16">
        <f>VLOOKUP(C16,Active!C$21:E$973,3,FALSE)</f>
        <v>-3043.9445951651514</v>
      </c>
      <c r="F16" s="1" t="s">
        <v>46</v>
      </c>
      <c r="G16" s="3" t="str">
        <f t="shared" si="4"/>
        <v>33512.411</v>
      </c>
      <c r="H16" s="2">
        <f t="shared" si="5"/>
        <v>2207</v>
      </c>
      <c r="I16" s="17" t="s">
        <v>70</v>
      </c>
      <c r="J16" s="18" t="s">
        <v>71</v>
      </c>
      <c r="K16" s="17">
        <v>2207</v>
      </c>
      <c r="L16" s="17" t="s">
        <v>72</v>
      </c>
      <c r="M16" s="18" t="s">
        <v>54</v>
      </c>
      <c r="N16" s="18"/>
      <c r="O16" s="19" t="s">
        <v>60</v>
      </c>
      <c r="P16" s="19" t="s">
        <v>56</v>
      </c>
    </row>
    <row r="17" spans="1:16" ht="12.75" customHeight="1" thickBot="1" x14ac:dyDescent="0.25">
      <c r="A17" s="2" t="str">
        <f t="shared" si="0"/>
        <v> MVS 3.23 </v>
      </c>
      <c r="B17" s="1" t="str">
        <f t="shared" si="1"/>
        <v>I</v>
      </c>
      <c r="C17" s="2">
        <f t="shared" si="2"/>
        <v>34955.415999999997</v>
      </c>
      <c r="D17" s="3" t="str">
        <f t="shared" si="3"/>
        <v>vis</v>
      </c>
      <c r="E17" s="16">
        <f>VLOOKUP(C17,Active!C$21:E$973,3,FALSE)</f>
        <v>-2858.9860203589601</v>
      </c>
      <c r="F17" s="1" t="s">
        <v>46</v>
      </c>
      <c r="G17" s="3" t="str">
        <f t="shared" si="4"/>
        <v>34955.416</v>
      </c>
      <c r="H17" s="2">
        <f t="shared" si="5"/>
        <v>2392</v>
      </c>
      <c r="I17" s="17" t="s">
        <v>73</v>
      </c>
      <c r="J17" s="18" t="s">
        <v>74</v>
      </c>
      <c r="K17" s="17">
        <v>2392</v>
      </c>
      <c r="L17" s="17" t="s">
        <v>75</v>
      </c>
      <c r="M17" s="18" t="s">
        <v>54</v>
      </c>
      <c r="N17" s="18"/>
      <c r="O17" s="19" t="s">
        <v>60</v>
      </c>
      <c r="P17" s="19" t="s">
        <v>56</v>
      </c>
    </row>
    <row r="18" spans="1:16" ht="12.75" customHeight="1" thickBot="1" x14ac:dyDescent="0.25">
      <c r="A18" s="2" t="str">
        <f t="shared" si="0"/>
        <v> MVS 3.23 </v>
      </c>
      <c r="B18" s="1" t="str">
        <f t="shared" si="1"/>
        <v>I</v>
      </c>
      <c r="C18" s="2">
        <f t="shared" si="2"/>
        <v>34986.500999999997</v>
      </c>
      <c r="D18" s="3" t="str">
        <f t="shared" si="3"/>
        <v>vis</v>
      </c>
      <c r="E18" s="16">
        <f>VLOOKUP(C18,Active!C$21:E$973,3,FALSE)</f>
        <v>-2855.0016701329732</v>
      </c>
      <c r="F18" s="1" t="s">
        <v>46</v>
      </c>
      <c r="G18" s="3" t="str">
        <f t="shared" si="4"/>
        <v>34986.501</v>
      </c>
      <c r="H18" s="2">
        <f t="shared" si="5"/>
        <v>2396</v>
      </c>
      <c r="I18" s="17" t="s">
        <v>76</v>
      </c>
      <c r="J18" s="18" t="s">
        <v>77</v>
      </c>
      <c r="K18" s="17">
        <v>2396</v>
      </c>
      <c r="L18" s="17" t="s">
        <v>78</v>
      </c>
      <c r="M18" s="18" t="s">
        <v>54</v>
      </c>
      <c r="N18" s="18"/>
      <c r="O18" s="19" t="s">
        <v>60</v>
      </c>
      <c r="P18" s="19" t="s">
        <v>56</v>
      </c>
    </row>
    <row r="19" spans="1:16" ht="12.75" customHeight="1" thickBot="1" x14ac:dyDescent="0.25">
      <c r="A19" s="2" t="str">
        <f t="shared" si="0"/>
        <v> MVS 3.23 </v>
      </c>
      <c r="B19" s="1" t="str">
        <f t="shared" si="1"/>
        <v>I</v>
      </c>
      <c r="C19" s="2">
        <f t="shared" si="2"/>
        <v>35314.46</v>
      </c>
      <c r="D19" s="3" t="str">
        <f t="shared" si="3"/>
        <v>vis</v>
      </c>
      <c r="E19" s="16">
        <f>VLOOKUP(C19,Active!C$21:E$973,3,FALSE)</f>
        <v>-2812.9652050930986</v>
      </c>
      <c r="F19" s="1" t="s">
        <v>46</v>
      </c>
      <c r="G19" s="3" t="str">
        <f t="shared" si="4"/>
        <v>35314.460</v>
      </c>
      <c r="H19" s="2">
        <f t="shared" si="5"/>
        <v>2438</v>
      </c>
      <c r="I19" s="17" t="s">
        <v>79</v>
      </c>
      <c r="J19" s="18" t="s">
        <v>80</v>
      </c>
      <c r="K19" s="17">
        <v>2438</v>
      </c>
      <c r="L19" s="17" t="s">
        <v>81</v>
      </c>
      <c r="M19" s="18" t="s">
        <v>54</v>
      </c>
      <c r="N19" s="18"/>
      <c r="O19" s="19" t="s">
        <v>60</v>
      </c>
      <c r="P19" s="19" t="s">
        <v>56</v>
      </c>
    </row>
    <row r="20" spans="1:16" ht="12.75" customHeight="1" thickBot="1" x14ac:dyDescent="0.25">
      <c r="A20" s="2" t="str">
        <f t="shared" si="0"/>
        <v> MVS 3.23 </v>
      </c>
      <c r="B20" s="1" t="str">
        <f t="shared" si="1"/>
        <v>I</v>
      </c>
      <c r="C20" s="2">
        <f t="shared" si="2"/>
        <v>35369.4</v>
      </c>
      <c r="D20" s="3" t="str">
        <f t="shared" si="3"/>
        <v>vis</v>
      </c>
      <c r="E20" s="16">
        <f>VLOOKUP(C20,Active!C$21:E$973,3,FALSE)</f>
        <v>-2805.9232169504016</v>
      </c>
      <c r="F20" s="1" t="s">
        <v>46</v>
      </c>
      <c r="G20" s="3" t="str">
        <f t="shared" si="4"/>
        <v>35369.400</v>
      </c>
      <c r="H20" s="2">
        <f t="shared" si="5"/>
        <v>2445</v>
      </c>
      <c r="I20" s="17" t="s">
        <v>82</v>
      </c>
      <c r="J20" s="18" t="s">
        <v>83</v>
      </c>
      <c r="K20" s="17">
        <v>2445</v>
      </c>
      <c r="L20" s="17" t="s">
        <v>84</v>
      </c>
      <c r="M20" s="18" t="s">
        <v>54</v>
      </c>
      <c r="N20" s="18"/>
      <c r="O20" s="19" t="s">
        <v>60</v>
      </c>
      <c r="P20" s="19" t="s">
        <v>56</v>
      </c>
    </row>
    <row r="21" spans="1:16" ht="12.75" customHeight="1" thickBot="1" x14ac:dyDescent="0.25">
      <c r="A21" s="2" t="str">
        <f t="shared" si="0"/>
        <v> MVS 3.23 </v>
      </c>
      <c r="B21" s="1" t="str">
        <f t="shared" si="1"/>
        <v>I</v>
      </c>
      <c r="C21" s="2">
        <f t="shared" si="2"/>
        <v>36453.351999999999</v>
      </c>
      <c r="D21" s="3" t="str">
        <f t="shared" si="3"/>
        <v>vis</v>
      </c>
      <c r="E21" s="16">
        <f>VLOOKUP(C21,Active!C$21:E$973,3,FALSE)</f>
        <v>-2666.9866109938589</v>
      </c>
      <c r="F21" s="1" t="s">
        <v>46</v>
      </c>
      <c r="G21" s="3" t="str">
        <f t="shared" si="4"/>
        <v>36453.352</v>
      </c>
      <c r="H21" s="2">
        <f t="shared" si="5"/>
        <v>2584</v>
      </c>
      <c r="I21" s="17" t="s">
        <v>85</v>
      </c>
      <c r="J21" s="18" t="s">
        <v>86</v>
      </c>
      <c r="K21" s="17">
        <v>2584</v>
      </c>
      <c r="L21" s="17" t="s">
        <v>87</v>
      </c>
      <c r="M21" s="18" t="s">
        <v>54</v>
      </c>
      <c r="N21" s="18"/>
      <c r="O21" s="19" t="s">
        <v>60</v>
      </c>
      <c r="P21" s="19" t="s">
        <v>56</v>
      </c>
    </row>
    <row r="22" spans="1:16" ht="12.75" customHeight="1" thickBot="1" x14ac:dyDescent="0.25">
      <c r="A22" s="2" t="str">
        <f t="shared" si="0"/>
        <v> MVS 3.23 </v>
      </c>
      <c r="B22" s="1" t="str">
        <f t="shared" si="1"/>
        <v>I</v>
      </c>
      <c r="C22" s="2">
        <f t="shared" si="2"/>
        <v>37935.428</v>
      </c>
      <c r="D22" s="3" t="str">
        <f t="shared" si="3"/>
        <v>vis</v>
      </c>
      <c r="E22" s="16">
        <f>VLOOKUP(C22,Active!C$21:E$973,3,FALSE)</f>
        <v>-2477.0200726142543</v>
      </c>
      <c r="F22" s="1" t="s">
        <v>46</v>
      </c>
      <c r="G22" s="3" t="str">
        <f t="shared" si="4"/>
        <v>37935.428</v>
      </c>
      <c r="H22" s="2">
        <f t="shared" si="5"/>
        <v>2774</v>
      </c>
      <c r="I22" s="17" t="s">
        <v>88</v>
      </c>
      <c r="J22" s="18" t="s">
        <v>89</v>
      </c>
      <c r="K22" s="17">
        <v>2774</v>
      </c>
      <c r="L22" s="17" t="s">
        <v>90</v>
      </c>
      <c r="M22" s="18" t="s">
        <v>54</v>
      </c>
      <c r="N22" s="18"/>
      <c r="O22" s="19" t="s">
        <v>60</v>
      </c>
      <c r="P22" s="19" t="s">
        <v>56</v>
      </c>
    </row>
    <row r="23" spans="1:16" ht="12.75" customHeight="1" thickBot="1" x14ac:dyDescent="0.25">
      <c r="A23" s="2" t="str">
        <f t="shared" si="0"/>
        <v> MVS 3.23 </v>
      </c>
      <c r="B23" s="1" t="str">
        <f t="shared" si="1"/>
        <v>I</v>
      </c>
      <c r="C23" s="2">
        <f t="shared" si="2"/>
        <v>37959.347999999998</v>
      </c>
      <c r="D23" s="3" t="str">
        <f t="shared" si="3"/>
        <v>vis</v>
      </c>
      <c r="E23" s="16">
        <f>VLOOKUP(C23,Active!C$21:E$973,3,FALSE)</f>
        <v>-2473.9541032590801</v>
      </c>
      <c r="F23" s="1" t="s">
        <v>46</v>
      </c>
      <c r="G23" s="3" t="str">
        <f t="shared" si="4"/>
        <v>37959.348</v>
      </c>
      <c r="H23" s="2">
        <f t="shared" si="5"/>
        <v>2777</v>
      </c>
      <c r="I23" s="17" t="s">
        <v>91</v>
      </c>
      <c r="J23" s="18" t="s">
        <v>92</v>
      </c>
      <c r="K23" s="17">
        <v>2777</v>
      </c>
      <c r="L23" s="17" t="s">
        <v>93</v>
      </c>
      <c r="M23" s="18" t="s">
        <v>54</v>
      </c>
      <c r="N23" s="18"/>
      <c r="O23" s="19" t="s">
        <v>60</v>
      </c>
      <c r="P23" s="19" t="s">
        <v>56</v>
      </c>
    </row>
    <row r="24" spans="1:16" x14ac:dyDescent="0.2">
      <c r="B24" s="1"/>
      <c r="E24" s="16"/>
      <c r="F24" s="1"/>
    </row>
    <row r="25" spans="1:16" x14ac:dyDescent="0.2">
      <c r="B25" s="1"/>
      <c r="E25" s="16"/>
      <c r="F25" s="1"/>
    </row>
    <row r="26" spans="1:16" x14ac:dyDescent="0.2">
      <c r="B26" s="1"/>
      <c r="E26" s="16"/>
      <c r="F26" s="1"/>
    </row>
    <row r="27" spans="1:16" x14ac:dyDescent="0.2">
      <c r="B27" s="1"/>
      <c r="F27" s="1"/>
    </row>
    <row r="28" spans="1:16" x14ac:dyDescent="0.2">
      <c r="B28" s="1"/>
      <c r="F28" s="1"/>
    </row>
    <row r="29" spans="1:16" x14ac:dyDescent="0.2">
      <c r="B29" s="1"/>
      <c r="F29" s="1"/>
    </row>
    <row r="30" spans="1:16" x14ac:dyDescent="0.2">
      <c r="B30" s="1"/>
      <c r="F30" s="1"/>
    </row>
    <row r="31" spans="1:16" x14ac:dyDescent="0.2">
      <c r="B31" s="1"/>
      <c r="F31" s="1"/>
    </row>
    <row r="32" spans="1:16" x14ac:dyDescent="0.2">
      <c r="B32" s="1"/>
      <c r="F32" s="1"/>
    </row>
    <row r="33" spans="2:6" x14ac:dyDescent="0.2">
      <c r="B33" s="1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2024-07-29T05:20:49Z</dcterms:modified>
</cp:coreProperties>
</file>