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4186F2-7DB9-4555-B922-088878DD2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F15" i="1" l="1"/>
  <c r="Q23" i="1" l="1"/>
  <c r="Q24" i="1"/>
  <c r="Q26" i="1"/>
  <c r="Q27" i="1"/>
  <c r="Q28" i="1"/>
  <c r="Q29" i="1"/>
  <c r="Q22" i="1"/>
  <c r="G12" i="2"/>
  <c r="C12" i="2"/>
  <c r="G18" i="2"/>
  <c r="C18" i="2"/>
  <c r="G17" i="2"/>
  <c r="C17" i="2"/>
  <c r="G16" i="2"/>
  <c r="C16" i="2"/>
  <c r="G15" i="2"/>
  <c r="C15" i="2"/>
  <c r="G14" i="2"/>
  <c r="C14" i="2"/>
  <c r="G13" i="2"/>
  <c r="C13" i="2"/>
  <c r="E13" i="2"/>
  <c r="G19" i="2"/>
  <c r="C19" i="2"/>
  <c r="H12" i="2"/>
  <c r="D12" i="2"/>
  <c r="B12" i="2"/>
  <c r="A12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9" i="2"/>
  <c r="D19" i="2"/>
  <c r="B19" i="2"/>
  <c r="A19" i="2"/>
  <c r="G11" i="1"/>
  <c r="F11" i="1"/>
  <c r="Q30" i="1"/>
  <c r="Q25" i="1"/>
  <c r="C17" i="1"/>
  <c r="C21" i="1"/>
  <c r="A21" i="1"/>
  <c r="C7" i="1"/>
  <c r="E23" i="1"/>
  <c r="F23" i="1"/>
  <c r="C8" i="1"/>
  <c r="Q21" i="1"/>
  <c r="E12" i="2"/>
  <c r="G30" i="1"/>
  <c r="J30" i="1"/>
  <c r="E21" i="1"/>
  <c r="F21" i="1"/>
  <c r="G21" i="1"/>
  <c r="E26" i="1"/>
  <c r="F26" i="1"/>
  <c r="E28" i="1"/>
  <c r="F28" i="1"/>
  <c r="G28" i="1"/>
  <c r="J28" i="1"/>
  <c r="E30" i="1"/>
  <c r="F30" i="1"/>
  <c r="G27" i="1"/>
  <c r="J27" i="1"/>
  <c r="E24" i="1"/>
  <c r="F24" i="1"/>
  <c r="G24" i="1"/>
  <c r="J24" i="1"/>
  <c r="G25" i="1"/>
  <c r="J25" i="1"/>
  <c r="E22" i="1"/>
  <c r="E27" i="1"/>
  <c r="F27" i="1"/>
  <c r="G23" i="1"/>
  <c r="J23" i="1"/>
  <c r="E25" i="1"/>
  <c r="F25" i="1"/>
  <c r="G26" i="1"/>
  <c r="J26" i="1"/>
  <c r="E29" i="1"/>
  <c r="F29" i="1"/>
  <c r="G29" i="1"/>
  <c r="J29" i="1"/>
  <c r="H21" i="1"/>
  <c r="E17" i="2"/>
  <c r="E16" i="2"/>
  <c r="E18" i="2"/>
  <c r="E15" i="2"/>
  <c r="F22" i="1"/>
  <c r="G22" i="1"/>
  <c r="E19" i="2"/>
  <c r="E14" i="2"/>
  <c r="J22" i="1"/>
  <c r="C12" i="1"/>
  <c r="C16" i="1" l="1"/>
  <c r="D18" i="1" s="1"/>
  <c r="C11" i="1"/>
  <c r="O27" i="1" l="1"/>
  <c r="O22" i="1"/>
  <c r="O23" i="1"/>
  <c r="O25" i="1"/>
  <c r="O28" i="1"/>
  <c r="O24" i="1"/>
  <c r="O29" i="1"/>
  <c r="O26" i="1"/>
  <c r="O30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<sst xmlns="http://schemas.openxmlformats.org/spreadsheetml/2006/main" count="162" uniqueCount="103">
  <si>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</si>
  <si>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</si>
  <si>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</si>
  <si>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</si>
  <si>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</si>
  <si>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</si>
  <si>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</si>
  <si>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</si>
  <si>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</si>
  <si>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</si>
  <si>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</si>
  <si>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</si>
  <si>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</si>
  <si>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</si>
  <si>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</si>
  <si>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</si>
  <si>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</si>
  <si>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</si>
  <si>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</si>
  <si>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</si>
  <si>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</si>
  <si>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</si>
  <si>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</si>
  <si>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</si>
  <si>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</si>
  <si>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</si>
  <si>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</si>
  <si>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</si>
  <si>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</si>
  <si>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</si>
  <si>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</si>
  <si>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</si>
  <si>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</si>
  <si>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</si>
  <si>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Vul</t>
  </si>
  <si>
    <t>EB</t>
  </si>
  <si>
    <t>IBVS 5686 Eph.</t>
  </si>
  <si>
    <t>IBVS 5686</t>
  </si>
  <si>
    <t>G1662-1759_Vul.xls</t>
  </si>
  <si>
    <t>V0467 Vul / GSC 1662-1759</t>
  </si>
  <si>
    <t>Add cycle</t>
  </si>
  <si>
    <t>Old Cycle</t>
  </si>
  <si>
    <t>OEJV 0137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</si>
  <si>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</si>
  <si>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</si>
  <si>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</si>
  <si>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</si>
  <si>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</si>
  <si>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</si>
  <si>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</si>
  <si>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</si>
  <si>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</si>
  <si>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</si>
  <si>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</si>
  <si>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</si>
  <si>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2455071.3523 </t>
  </si>
  <si>
    <t> 27.08.2009 20:27 </t>
  </si>
  <si>
    <t> -0.0248 </t>
  </si>
  <si>
    <t>C </t>
  </si>
  <si>
    <t>-I</t>
  </si>
  <si>
    <t> F.Agerer </t>
  </si>
  <si>
    <t>BAVM 212 </t>
  </si>
  <si>
    <t>2455071.5622 </t>
  </si>
  <si>
    <t> 28.08.2009 01:29 </t>
  </si>
  <si>
    <t>4412</t>
  </si>
  <si>
    <t> -0.0286 </t>
  </si>
  <si>
    <t>2455442.3386 </t>
  </si>
  <si>
    <t> 02.09.2010 20:07 </t>
  </si>
  <si>
    <t>5279.5</t>
  </si>
  <si>
    <t> -0.0365 </t>
  </si>
  <si>
    <t> G.Corfini </t>
  </si>
  <si>
    <t>IBVS 6033 </t>
  </si>
  <si>
    <t>2455791.5332 </t>
  </si>
  <si>
    <t> 18.08.2011 00:47 </t>
  </si>
  <si>
    <t>6096.5</t>
  </si>
  <si>
    <t> -0.0415 </t>
  </si>
  <si>
    <t>2455806.4902 </t>
  </si>
  <si>
    <t> 01.09.2011 23:45 </t>
  </si>
  <si>
    <t>6131.5</t>
  </si>
  <si>
    <t> -0.0441 </t>
  </si>
  <si>
    <t>2455807.5557 </t>
  </si>
  <si>
    <t> 03.09.2011 01:20 </t>
  </si>
  <si>
    <t>6134</t>
  </si>
  <si>
    <t> -0.0472 </t>
  </si>
  <si>
    <t>2455827.4316 </t>
  </si>
  <si>
    <t> 22.09.2011 22:21 </t>
  </si>
  <si>
    <t>6180.5</t>
  </si>
  <si>
    <t> -0.0462 </t>
  </si>
  <si>
    <t>2456492.7984 </t>
  </si>
  <si>
    <t> 19.07.2013 07:09 </t>
  </si>
  <si>
    <t>7737</t>
  </si>
  <si>
    <t> 0.0461 </t>
  </si>
  <si>
    <t>R</t>
  </si>
  <si>
    <t> R.Nelson </t>
  </si>
  <si>
    <t>IBVS 6092 </t>
  </si>
  <si>
    <t>I</t>
  </si>
  <si>
    <t>IBVS 6092</t>
  </si>
  <si>
    <t>Nelson pers com</t>
  </si>
  <si>
    <t xml:space="preserve">Mag </t>
  </si>
  <si>
    <t>Next ToM-P</t>
  </si>
  <si>
    <t>Next ToM-S</t>
  </si>
  <si>
    <t>12.44-12.85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</si>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</sst>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2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8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4" borderId="13" xfId="0" applyFont="1" applyFill="1" applyBorder="1" applyAlignment="1">
      <alignment horizontal="left" vertical="top" wrapText="1" indent="1"/>
    </xf>
    <xf numFmtId="0" fontId="5" fillId="4" borderId="13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right" vertical="top" wrapText="1"/>
    </xf>
    <xf numFmtId="0" fontId="18" fillId="4" borderId="13" xfId="7" applyFill="1" applyBorder="1" applyAlignment="1" applyProtection="1">
      <alignment horizontal="right" vertical="top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5" borderId="14" xfId="0" applyFill="1" applyBorder="1" applyAlignment="1">
      <alignment horizontal="right" vertical="center"/>
    </xf>
    <xf numFmtId="0" fontId="20" fillId="5" borderId="15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2" fillId="0" borderId="17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22" fontId="8" fillId="0" borderId="16" xfId="0" applyNumberFormat="1" applyFont="1" applyBorder="1" applyAlignment="1">
      <alignment horizontal="right" vertical="center"/>
    </xf>
    <xf numFmtId="22" fontId="21" fillId="0" borderId="17" xfId="0" applyNumberFormat="1" applyFont="1" applyBorder="1" applyAlignment="1">
      <alignment vertical="center"/>
    </xf>
    <xf numFmtId="22" fontId="21" fillId="0" borderId="18" xfId="0" applyNumberFormat="1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V0467 Vul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C-470C-A082-47D7D8FF9D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C-470C-A082-47D7D8FF9D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0.18891299999813782</c:v>
                </c:pt>
                <c:pt idx="2">
                  <c:v>0.18510450000030687</c:v>
                </c:pt>
                <c:pt idx="3">
                  <c:v>0.17725700000301003</c:v>
                </c:pt>
                <c:pt idx="4">
                  <c:v>0.1782969999985653</c:v>
                </c:pt>
                <c:pt idx="5">
                  <c:v>0.17216799999732757</c:v>
                </c:pt>
                <c:pt idx="6">
                  <c:v>0.16957300000649411</c:v>
                </c:pt>
                <c:pt idx="7">
                  <c:v>0.16653049999877112</c:v>
                </c:pt>
                <c:pt idx="8">
                  <c:v>0.16754000000946689</c:v>
                </c:pt>
                <c:pt idx="9">
                  <c:v>0.25977950000378769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BC-470C-A082-47D7D8FF9D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BC-470C-A082-47D7D8FF9D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BC-470C-A082-47D7D8FF9D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BC-470C-A082-47D7D8FF9D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4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BC-470C-A082-47D7D8FF9D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4411</c:v>
                </c:pt>
                <c:pt idx="2">
                  <c:v>4411.5</c:v>
                </c:pt>
                <c:pt idx="3">
                  <c:v>5279</c:v>
                </c:pt>
                <c:pt idx="4">
                  <c:v>5279</c:v>
                </c:pt>
                <c:pt idx="5">
                  <c:v>6096</c:v>
                </c:pt>
                <c:pt idx="6">
                  <c:v>6131</c:v>
                </c:pt>
                <c:pt idx="7">
                  <c:v>6133.5</c:v>
                </c:pt>
                <c:pt idx="8">
                  <c:v>6180</c:v>
                </c:pt>
                <c:pt idx="9">
                  <c:v>7736.5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2.0434764860832288E-2</c:v>
                </c:pt>
                <c:pt idx="1">
                  <c:v>0.1451727856624328</c:v>
                </c:pt>
                <c:pt idx="2">
                  <c:v>0.14518692508895759</c:v>
                </c:pt>
                <c:pt idx="3">
                  <c:v>0.16971883010944919</c:v>
                </c:pt>
                <c:pt idx="4">
                  <c:v>0.16971883010944919</c:v>
                </c:pt>
                <c:pt idx="5">
                  <c:v>0.1928226530509381</c:v>
                </c:pt>
                <c:pt idx="6">
                  <c:v>0.19381241290767262</c:v>
                </c:pt>
                <c:pt idx="7">
                  <c:v>0.19388311004029654</c:v>
                </c:pt>
                <c:pt idx="8">
                  <c:v>0.19519807670710099</c:v>
                </c:pt>
                <c:pt idx="9">
                  <c:v>0.23921411147873806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BC-470C-A082-47D7D8FF9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395024"/>
        <c:axId val="1"/>
      </c:scatterChart>
      <c:valAx>
        <c:axId val="73739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739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BAA7F0-3686-0BC9-DF87-8C707D3CA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92" TargetMode="External"/><Relationship Id="rId3" Type="http://schemas.openxmlformats.org/officeDocument/2006/relationships/hyperlink" Target="http://www.konkoly.hu/cgi-bin/IBVS?6033" TargetMode="External"/><Relationship Id="rId7" Type="http://schemas.openxmlformats.org/officeDocument/2006/relationships/hyperlink" Target="http://www.konkoly.hu/cgi-bin/IBVS?6033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12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4: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9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6" customFormat="1" ht="20.25" x14ac:dyDescent="0.2">
      <c r="A1" s="49" t="s">
        <v>39</v>
      </c>
      <c r="E1" s="4"/>
      <c r="F1" s="6" t="s">
        <v>34</v>
      </c>
      <c r="G1" s="4" t="s">
        <v>35</v>
      </c>
      <c r="H1" s="7" t="s">
        <v>36</v>
      </c>
      <c r="I1" s="5">
        <v>53185.826999999997</v>
      </c>
      <c r="J1" s="5">
        <v>0.42741699999999999</v>
      </c>
      <c r="K1" s="8" t="s">
        <v>37</v>
      </c>
      <c r="L1" s="9" t="s">
        <v>38</v>
      </c>
    </row>
    <row r="2" spans="1:12" s="6" customFormat="1" ht="12.95" customHeight="1" x14ac:dyDescent="0.2">
      <c r="A2" s="6" t="s">
        <v>22</v>
      </c>
      <c r="B2" s="6" t="s">
        <v>35</v>
      </c>
      <c r="C2" s="23" t="s">
        <v>38</v>
      </c>
      <c r="D2" s="23"/>
    </row>
    <row r="3" spans="1:12" s="6" customFormat="1" ht="12.95" customHeight="1" thickBot="1" x14ac:dyDescent="0.25"/>
    <row r="4" spans="1:12" s="6" customFormat="1" ht="12.95" customHeight="1" thickTop="1" thickBot="1" x14ac:dyDescent="0.25">
      <c r="A4" s="7" t="s">
        <v>36</v>
      </c>
      <c r="C4" s="24">
        <v>53185.826999999997</v>
      </c>
      <c r="D4" s="25">
        <v>0.42741699999999999</v>
      </c>
    </row>
    <row r="5" spans="1:12" s="6" customFormat="1" ht="12.95" customHeight="1" x14ac:dyDescent="0.2"/>
    <row r="6" spans="1:12" s="6" customFormat="1" ht="12.95" customHeight="1" x14ac:dyDescent="0.2">
      <c r="A6" s="26" t="s">
        <v>0</v>
      </c>
    </row>
    <row r="7" spans="1:12" s="6" customFormat="1" ht="12.95" customHeight="1" x14ac:dyDescent="0.2">
      <c r="A7" s="6" t="s">
        <v>1</v>
      </c>
      <c r="C7" s="6">
        <f>+C4</f>
        <v>53185.826999999997</v>
      </c>
      <c r="D7" s="50" t="s">
        <v>102</v>
      </c>
    </row>
    <row r="8" spans="1:12" s="6" customFormat="1" ht="12.95" customHeight="1" x14ac:dyDescent="0.2">
      <c r="A8" s="6" t="s">
        <v>2</v>
      </c>
      <c r="C8" s="6">
        <f>+D4</f>
        <v>0.42741699999999999</v>
      </c>
      <c r="D8" s="50" t="s">
        <v>102</v>
      </c>
    </row>
    <row r="9" spans="1:12" s="6" customFormat="1" ht="12.95" customHeight="1" x14ac:dyDescent="0.2">
      <c r="A9" s="7" t="s">
        <v>29</v>
      </c>
      <c r="C9" s="27">
        <v>-9.5</v>
      </c>
      <c r="D9" s="6" t="s">
        <v>30</v>
      </c>
    </row>
    <row r="10" spans="1:12" s="6" customFormat="1" ht="12.95" customHeight="1" thickBot="1" x14ac:dyDescent="0.25">
      <c r="C10" s="28" t="s">
        <v>18</v>
      </c>
      <c r="D10" s="28" t="s">
        <v>19</v>
      </c>
    </row>
    <row r="11" spans="1:12" s="6" customFormat="1" ht="12.95" customHeight="1" x14ac:dyDescent="0.2">
      <c r="A11" s="6" t="s">
        <v>14</v>
      </c>
      <c r="C11" s="29">
        <f ca="1">INTERCEPT(INDIRECT($G$11):G992,INDIRECT($F$11):F992)</f>
        <v>2.0434764860832288E-2</v>
      </c>
      <c r="D11" s="30"/>
      <c r="F11" s="31" t="str">
        <f>"F"&amp;E19</f>
        <v>F21</v>
      </c>
      <c r="G11" s="29" t="str">
        <f>"G"&amp;E19</f>
        <v>G21</v>
      </c>
    </row>
    <row r="12" spans="1:12" s="6" customFormat="1" ht="12.95" customHeight="1" x14ac:dyDescent="0.2">
      <c r="A12" s="6" t="s">
        <v>15</v>
      </c>
      <c r="C12" s="29">
        <f ca="1">SLOPE(INDIRECT($G$11):G992,INDIRECT($F$11):F992)</f>
        <v>2.827885304955804E-5</v>
      </c>
      <c r="D12" s="30"/>
      <c r="E12" s="51" t="s">
        <v>98</v>
      </c>
      <c r="F12" s="52" t="s">
        <v>101</v>
      </c>
    </row>
    <row r="13" spans="1:12" s="6" customFormat="1" ht="12.95" customHeight="1" x14ac:dyDescent="0.2">
      <c r="A13" s="6" t="s">
        <v>17</v>
      </c>
      <c r="C13" s="30" t="s">
        <v>12</v>
      </c>
      <c r="D13" s="32"/>
      <c r="E13" s="53" t="s">
        <v>40</v>
      </c>
      <c r="F13" s="54">
        <v>1</v>
      </c>
    </row>
    <row r="14" spans="1:12" s="6" customFormat="1" ht="12.95" customHeight="1" x14ac:dyDescent="0.2">
      <c r="D14" s="32"/>
      <c r="E14" s="55" t="s">
        <v>31</v>
      </c>
      <c r="F14" s="56">
        <f ca="1">NOW()+15018.5+$C$9/24</f>
        <v>60520.720849189813</v>
      </c>
    </row>
    <row r="15" spans="1:12" s="6" customFormat="1" ht="12.95" customHeight="1" x14ac:dyDescent="0.2">
      <c r="A15" s="33" t="s">
        <v>16</v>
      </c>
      <c r="C15" s="34">
        <f ca="1">(C7+C11)+(C8+C12)*INT(MAX(F21:F3533))</f>
        <v>56492.564111972053</v>
      </c>
      <c r="D15" s="32"/>
      <c r="E15" s="55" t="s">
        <v>41</v>
      </c>
      <c r="F15" s="56">
        <f ca="1">ROUND(2*($F$14-$C$7)/$C$8,0)/2+$F$13</f>
        <v>17162</v>
      </c>
    </row>
    <row r="16" spans="1:12" s="6" customFormat="1" ht="12.95" customHeight="1" x14ac:dyDescent="0.2">
      <c r="A16" s="26" t="s">
        <v>3</v>
      </c>
      <c r="C16" s="35">
        <f ca="1">+C8+C12</f>
        <v>0.42744527885304956</v>
      </c>
      <c r="D16" s="32"/>
      <c r="E16" s="57" t="s">
        <v>32</v>
      </c>
      <c r="F16" s="56">
        <f ca="1">ROUND(2*($F$14-$C$15)/$C$16,0)/2+$F$13</f>
        <v>9425</v>
      </c>
    </row>
    <row r="17" spans="1:22" s="6" customFormat="1" ht="12.95" customHeight="1" thickBot="1" x14ac:dyDescent="0.25">
      <c r="A17" s="32" t="s">
        <v>28</v>
      </c>
      <c r="C17" s="6">
        <f>COUNT(C21:C2191)</f>
        <v>10</v>
      </c>
      <c r="D17" s="32"/>
      <c r="E17" s="58" t="s">
        <v>99</v>
      </c>
      <c r="F17" s="59">
        <f ca="1">+$C$15+$C$16*$F$16-15018.5-$C$9/24</f>
        <v>45503.131698495381</v>
      </c>
    </row>
    <row r="18" spans="1:22" s="6" customFormat="1" ht="12.95" customHeight="1" thickTop="1" thickBot="1" x14ac:dyDescent="0.25">
      <c r="A18" s="26" t="s">
        <v>4</v>
      </c>
      <c r="C18" s="36">
        <f ca="1">+C15</f>
        <v>56492.564111972053</v>
      </c>
      <c r="D18" s="37">
        <f ca="1">+C16</f>
        <v>0.42744527885304956</v>
      </c>
      <c r="E18" s="61" t="s">
        <v>100</v>
      </c>
      <c r="F18" s="60">
        <f ca="1">+($C$15+$C$16*$F$16)-($C$16/2)-15018.5-$C$9/24</f>
        <v>45502.917975855955</v>
      </c>
    </row>
    <row r="19" spans="1:22" s="6" customFormat="1" ht="12.95" customHeight="1" thickTop="1" x14ac:dyDescent="0.2">
      <c r="A19" s="38" t="s">
        <v>33</v>
      </c>
      <c r="E19" s="39">
        <v>21</v>
      </c>
    </row>
    <row r="20" spans="1:22" s="6" customFormat="1" ht="12.95" customHeight="1" thickBot="1" x14ac:dyDescent="0.25">
      <c r="A20" s="28" t="s">
        <v>5</v>
      </c>
      <c r="B20" s="28" t="s">
        <v>6</v>
      </c>
      <c r="C20" s="28" t="s">
        <v>7</v>
      </c>
      <c r="D20" s="28" t="s">
        <v>11</v>
      </c>
      <c r="E20" s="28" t="s">
        <v>8</v>
      </c>
      <c r="F20" s="28" t="s">
        <v>9</v>
      </c>
      <c r="G20" s="28" t="s">
        <v>10</v>
      </c>
      <c r="H20" s="40" t="s">
        <v>27</v>
      </c>
      <c r="I20" s="40" t="s">
        <v>54</v>
      </c>
      <c r="J20" s="40" t="s">
        <v>46</v>
      </c>
      <c r="K20" s="40" t="s">
        <v>23</v>
      </c>
      <c r="L20" s="40" t="s">
        <v>24</v>
      </c>
      <c r="M20" s="40" t="s">
        <v>25</v>
      </c>
      <c r="N20" s="40" t="s">
        <v>26</v>
      </c>
      <c r="O20" s="40" t="s">
        <v>21</v>
      </c>
      <c r="P20" s="41" t="s">
        <v>20</v>
      </c>
      <c r="Q20" s="28" t="s">
        <v>13</v>
      </c>
    </row>
    <row r="21" spans="1:22" s="6" customFormat="1" ht="12.95" customHeight="1" x14ac:dyDescent="0.2">
      <c r="A21" s="6" t="str">
        <f>$K$1</f>
        <v>IBVS 5686</v>
      </c>
      <c r="C21" s="23">
        <f>+$C$4</f>
        <v>53185.826999999997</v>
      </c>
      <c r="D21" s="23" t="s">
        <v>12</v>
      </c>
      <c r="E21" s="6">
        <f t="shared" ref="E21:E30" si="0">+(C21-C$7)/C$8</f>
        <v>0</v>
      </c>
      <c r="F21" s="6">
        <f>ROUND(2*E21,0)/2</f>
        <v>0</v>
      </c>
      <c r="G21" s="6">
        <f t="shared" ref="G21:G30" si="1">+C21-(C$7+F21*C$8)</f>
        <v>0</v>
      </c>
      <c r="H21" s="6">
        <f>+G21</f>
        <v>0</v>
      </c>
      <c r="O21" s="6">
        <f t="shared" ref="O21:O30" ca="1" si="2">+C$11+C$12*$F21</f>
        <v>2.0434764860832288E-2</v>
      </c>
      <c r="Q21" s="42">
        <f t="shared" ref="Q21:Q30" si="3">+C21-15018.5</f>
        <v>38167.326999999997</v>
      </c>
    </row>
    <row r="22" spans="1:22" s="6" customFormat="1" ht="12.95" customHeight="1" x14ac:dyDescent="0.2">
      <c r="A22" s="43" t="s">
        <v>61</v>
      </c>
      <c r="B22" s="44" t="s">
        <v>43</v>
      </c>
      <c r="C22" s="43">
        <v>55071.352299999999</v>
      </c>
      <c r="D22" s="23"/>
      <c r="E22" s="6">
        <f t="shared" si="0"/>
        <v>4411.4419875671792</v>
      </c>
      <c r="F22" s="45">
        <f t="shared" ref="F22:F30" si="4">ROUND(2*E22,0)/2-0.5</f>
        <v>4411</v>
      </c>
      <c r="G22" s="6">
        <f t="shared" si="1"/>
        <v>0.18891299999813782</v>
      </c>
      <c r="J22" s="6">
        <f t="shared" ref="J22:J30" si="5">+G22</f>
        <v>0.18891299999813782</v>
      </c>
      <c r="O22" s="6">
        <f t="shared" ca="1" si="2"/>
        <v>0.1451727856624328</v>
      </c>
      <c r="Q22" s="42">
        <f t="shared" si="3"/>
        <v>40052.852299999999</v>
      </c>
      <c r="V22" s="50" t="s">
        <v>97</v>
      </c>
    </row>
    <row r="23" spans="1:22" s="6" customFormat="1" ht="12.95" customHeight="1" x14ac:dyDescent="0.2">
      <c r="A23" s="43" t="s">
        <v>61</v>
      </c>
      <c r="B23" s="44" t="s">
        <v>95</v>
      </c>
      <c r="C23" s="43">
        <v>55071.5622</v>
      </c>
      <c r="E23" s="6">
        <f t="shared" si="0"/>
        <v>4411.9330770652614</v>
      </c>
      <c r="F23" s="45">
        <f t="shared" si="4"/>
        <v>4411.5</v>
      </c>
      <c r="G23" s="6">
        <f t="shared" si="1"/>
        <v>0.18510450000030687</v>
      </c>
      <c r="J23" s="6">
        <f t="shared" si="5"/>
        <v>0.18510450000030687</v>
      </c>
      <c r="O23" s="6">
        <f t="shared" ca="1" si="2"/>
        <v>0.14518692508895759</v>
      </c>
      <c r="Q23" s="42">
        <f t="shared" si="3"/>
        <v>40053.0622</v>
      </c>
      <c r="V23" s="50" t="s">
        <v>97</v>
      </c>
    </row>
    <row r="24" spans="1:22" s="6" customFormat="1" ht="12.95" customHeight="1" x14ac:dyDescent="0.2">
      <c r="A24" s="43" t="s">
        <v>71</v>
      </c>
      <c r="B24" s="44" t="s">
        <v>43</v>
      </c>
      <c r="C24" s="43">
        <v>55442.338600000003</v>
      </c>
      <c r="D24" s="23"/>
      <c r="E24" s="6">
        <f t="shared" si="0"/>
        <v>5279.4147167754336</v>
      </c>
      <c r="F24" s="45">
        <f t="shared" si="4"/>
        <v>5279</v>
      </c>
      <c r="G24" s="6">
        <f t="shared" si="1"/>
        <v>0.17725700000301003</v>
      </c>
      <c r="J24" s="6">
        <f t="shared" si="5"/>
        <v>0.17725700000301003</v>
      </c>
      <c r="O24" s="6">
        <f t="shared" ca="1" si="2"/>
        <v>0.16971883010944919</v>
      </c>
      <c r="Q24" s="42">
        <f t="shared" si="3"/>
        <v>40423.838600000003</v>
      </c>
      <c r="V24" s="50" t="s">
        <v>97</v>
      </c>
    </row>
    <row r="25" spans="1:22" s="6" customFormat="1" ht="12.95" customHeight="1" x14ac:dyDescent="0.2">
      <c r="A25" s="46" t="s">
        <v>42</v>
      </c>
      <c r="B25" s="47" t="s">
        <v>43</v>
      </c>
      <c r="C25" s="48">
        <v>55442.339639999998</v>
      </c>
      <c r="D25" s="48">
        <v>2.9999999999999997E-4</v>
      </c>
      <c r="E25" s="6">
        <f t="shared" si="0"/>
        <v>5279.4171499963759</v>
      </c>
      <c r="F25" s="45">
        <f t="shared" si="4"/>
        <v>5279</v>
      </c>
      <c r="G25" s="6">
        <f t="shared" si="1"/>
        <v>0.1782969999985653</v>
      </c>
      <c r="J25" s="6">
        <f t="shared" si="5"/>
        <v>0.1782969999985653</v>
      </c>
      <c r="O25" s="6">
        <f t="shared" ca="1" si="2"/>
        <v>0.16971883010944919</v>
      </c>
      <c r="Q25" s="42">
        <f t="shared" si="3"/>
        <v>40423.839639999998</v>
      </c>
      <c r="V25" s="50"/>
    </row>
    <row r="26" spans="1:22" s="6" customFormat="1" ht="12.95" customHeight="1" x14ac:dyDescent="0.2">
      <c r="A26" s="43" t="s">
        <v>61</v>
      </c>
      <c r="B26" s="44" t="s">
        <v>43</v>
      </c>
      <c r="C26" s="43">
        <v>55791.533199999998</v>
      </c>
      <c r="D26" s="23"/>
      <c r="E26" s="6">
        <f t="shared" si="0"/>
        <v>6096.4028103702021</v>
      </c>
      <c r="F26" s="45">
        <f t="shared" si="4"/>
        <v>6096</v>
      </c>
      <c r="G26" s="6">
        <f t="shared" si="1"/>
        <v>0.17216799999732757</v>
      </c>
      <c r="J26" s="6">
        <f t="shared" si="5"/>
        <v>0.17216799999732757</v>
      </c>
      <c r="O26" s="6">
        <f t="shared" ca="1" si="2"/>
        <v>0.1928226530509381</v>
      </c>
      <c r="Q26" s="42">
        <f t="shared" si="3"/>
        <v>40773.033199999998</v>
      </c>
      <c r="V26" s="50" t="s">
        <v>97</v>
      </c>
    </row>
    <row r="27" spans="1:22" s="6" customFormat="1" ht="12.95" customHeight="1" x14ac:dyDescent="0.2">
      <c r="A27" s="43" t="s">
        <v>61</v>
      </c>
      <c r="B27" s="44" t="s">
        <v>43</v>
      </c>
      <c r="C27" s="43">
        <v>55806.4902</v>
      </c>
      <c r="D27" s="23"/>
      <c r="E27" s="6">
        <f t="shared" si="0"/>
        <v>6131.3967390160024</v>
      </c>
      <c r="F27" s="45">
        <f t="shared" si="4"/>
        <v>6131</v>
      </c>
      <c r="G27" s="6">
        <f t="shared" si="1"/>
        <v>0.16957300000649411</v>
      </c>
      <c r="J27" s="6">
        <f t="shared" si="5"/>
        <v>0.16957300000649411</v>
      </c>
      <c r="O27" s="6">
        <f t="shared" ca="1" si="2"/>
        <v>0.19381241290767262</v>
      </c>
      <c r="Q27" s="42">
        <f t="shared" si="3"/>
        <v>40787.9902</v>
      </c>
      <c r="V27" s="50" t="s">
        <v>97</v>
      </c>
    </row>
    <row r="28" spans="1:22" s="6" customFormat="1" ht="12.95" customHeight="1" x14ac:dyDescent="0.2">
      <c r="A28" s="43" t="s">
        <v>61</v>
      </c>
      <c r="B28" s="44" t="s">
        <v>95</v>
      </c>
      <c r="C28" s="43">
        <v>55807.555699999997</v>
      </c>
      <c r="D28" s="23"/>
      <c r="E28" s="6">
        <f t="shared" si="0"/>
        <v>6133.8896206748905</v>
      </c>
      <c r="F28" s="45">
        <f t="shared" si="4"/>
        <v>6133.5</v>
      </c>
      <c r="G28" s="6">
        <f t="shared" si="1"/>
        <v>0.16653049999877112</v>
      </c>
      <c r="J28" s="6">
        <f t="shared" si="5"/>
        <v>0.16653049999877112</v>
      </c>
      <c r="O28" s="6">
        <f t="shared" ca="1" si="2"/>
        <v>0.19388311004029654</v>
      </c>
      <c r="Q28" s="42">
        <f t="shared" si="3"/>
        <v>40789.055699999997</v>
      </c>
      <c r="V28" s="50" t="s">
        <v>97</v>
      </c>
    </row>
    <row r="29" spans="1:22" s="6" customFormat="1" ht="12.95" customHeight="1" x14ac:dyDescent="0.2">
      <c r="A29" s="43" t="s">
        <v>71</v>
      </c>
      <c r="B29" s="44" t="s">
        <v>43</v>
      </c>
      <c r="C29" s="43">
        <v>55827.431600000004</v>
      </c>
      <c r="D29" s="23"/>
      <c r="E29" s="6">
        <f t="shared" si="0"/>
        <v>6180.3919825369749</v>
      </c>
      <c r="F29" s="45">
        <f t="shared" si="4"/>
        <v>6180</v>
      </c>
      <c r="G29" s="6">
        <f t="shared" si="1"/>
        <v>0.16754000000946689</v>
      </c>
      <c r="J29" s="6">
        <f t="shared" si="5"/>
        <v>0.16754000000946689</v>
      </c>
      <c r="O29" s="6">
        <f t="shared" ca="1" si="2"/>
        <v>0.19519807670710099</v>
      </c>
      <c r="Q29" s="42">
        <f t="shared" si="3"/>
        <v>40808.931600000004</v>
      </c>
      <c r="V29" s="50" t="s">
        <v>97</v>
      </c>
    </row>
    <row r="30" spans="1:22" s="6" customFormat="1" ht="12.95" customHeight="1" x14ac:dyDescent="0.2">
      <c r="A30" s="26" t="s">
        <v>96</v>
      </c>
      <c r="C30" s="23">
        <v>56492.7984</v>
      </c>
      <c r="D30" s="23">
        <v>2.9999999999999997E-4</v>
      </c>
      <c r="E30" s="6">
        <f t="shared" si="0"/>
        <v>7737.1077893485808</v>
      </c>
      <c r="F30" s="45">
        <f t="shared" si="4"/>
        <v>7736.5</v>
      </c>
      <c r="G30" s="6">
        <f t="shared" si="1"/>
        <v>0.25977950000378769</v>
      </c>
      <c r="J30" s="6">
        <f t="shared" si="5"/>
        <v>0.25977950000378769</v>
      </c>
      <c r="O30" s="6">
        <f t="shared" ca="1" si="2"/>
        <v>0.23921411147873806</v>
      </c>
      <c r="Q30" s="42">
        <f t="shared" si="3"/>
        <v>41474.2984</v>
      </c>
      <c r="V30" s="50" t="s">
        <v>97</v>
      </c>
    </row>
    <row r="31" spans="1:22" s="6" customFormat="1" ht="12.95" customHeight="1" x14ac:dyDescent="0.2">
      <c r="B31" s="30"/>
      <c r="C31" s="23"/>
      <c r="D31" s="23"/>
      <c r="Q31" s="42"/>
    </row>
    <row r="32" spans="1:22" s="6" customFormat="1" ht="12.95" customHeight="1" x14ac:dyDescent="0.2">
      <c r="C32" s="23"/>
      <c r="D32" s="23"/>
      <c r="Q32" s="42"/>
    </row>
    <row r="33" spans="3:17" s="6" customFormat="1" ht="12.95" customHeight="1" x14ac:dyDescent="0.2">
      <c r="C33" s="23"/>
      <c r="D33" s="23"/>
      <c r="Q33" s="42"/>
    </row>
    <row r="34" spans="3:17" s="6" customFormat="1" ht="12.95" customHeight="1" x14ac:dyDescent="0.2">
      <c r="C34" s="23"/>
      <c r="D34" s="23"/>
    </row>
    <row r="35" spans="3:17" s="6" customFormat="1" ht="12.95" customHeight="1" x14ac:dyDescent="0.2">
      <c r="C35" s="23"/>
      <c r="D35" s="23"/>
    </row>
    <row r="36" spans="3:17" s="6" customFormat="1" ht="12.95" customHeight="1" x14ac:dyDescent="0.2">
      <c r="C36" s="23"/>
      <c r="D36" s="23"/>
    </row>
    <row r="37" spans="3:17" s="6" customFormat="1" ht="12.95" customHeight="1" x14ac:dyDescent="0.2">
      <c r="C37" s="23"/>
      <c r="D37" s="23"/>
    </row>
    <row r="38" spans="3:17" s="6" customFormat="1" ht="12.95" customHeight="1" x14ac:dyDescent="0.2">
      <c r="C38" s="23"/>
      <c r="D38" s="23"/>
    </row>
    <row r="39" spans="3:17" s="6" customFormat="1" ht="12.95" customHeight="1" x14ac:dyDescent="0.2">
      <c r="C39" s="23"/>
      <c r="D39" s="23"/>
    </row>
    <row r="40" spans="3:17" s="6" customFormat="1" ht="12.95" customHeight="1" x14ac:dyDescent="0.2">
      <c r="C40" s="23"/>
      <c r="D40" s="23"/>
    </row>
    <row r="41" spans="3:17" s="6" customFormat="1" ht="12.95" customHeight="1" x14ac:dyDescent="0.2">
      <c r="C41" s="23"/>
      <c r="D41" s="23"/>
    </row>
    <row r="42" spans="3:17" s="6" customFormat="1" ht="12.95" customHeight="1" x14ac:dyDescent="0.2">
      <c r="C42" s="23"/>
      <c r="D42" s="23"/>
    </row>
    <row r="43" spans="3:17" s="6" customFormat="1" ht="12.95" customHeight="1" x14ac:dyDescent="0.2">
      <c r="C43" s="23"/>
      <c r="D43" s="23"/>
    </row>
    <row r="44" spans="3:17" s="6" customFormat="1" ht="12.95" customHeight="1" x14ac:dyDescent="0.2">
      <c r="C44" s="23"/>
      <c r="D44" s="23"/>
    </row>
    <row r="45" spans="3:17" s="6" customFormat="1" ht="12.95" customHeight="1" x14ac:dyDescent="0.2">
      <c r="C45" s="23"/>
      <c r="D45" s="23"/>
    </row>
    <row r="46" spans="3:17" s="6" customFormat="1" ht="12.95" customHeight="1" x14ac:dyDescent="0.2">
      <c r="C46" s="23"/>
      <c r="D46" s="23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0"/>
  <sheetViews>
    <sheetView workbookViewId="0">
      <selection activeCell="A13" sqref="A13:C19"/>
    </sheetView>
  </sheetViews>
  <sheetFormatPr defaultRowHeight="12.75" x14ac:dyDescent="0.2"/>
  <cols>
    <col min="1" max="1" width="19.7109375" style="1" customWidth="1"/>
    <col min="2" max="2" width="4.42578125" style="2" customWidth="1"/>
    <col min="3" max="3" width="12.7109375" style="1" customWidth="1"/>
    <col min="4" max="4" width="5.42578125" style="2" customWidth="1"/>
    <col min="5" max="5" width="14.85546875" style="2" customWidth="1"/>
    <col min="6" max="6" width="9.140625" style="2"/>
    <col min="7" max="7" width="12" style="2" customWidth="1"/>
    <col min="8" max="8" width="14.140625" style="1" customWidth="1"/>
    <col min="9" max="9" width="22.5703125" style="2" customWidth="1"/>
    <col min="10" max="10" width="25.140625" style="2" customWidth="1"/>
    <col min="11" max="11" width="15.7109375" style="2" customWidth="1"/>
    <col min="12" max="12" width="14.140625" style="2" customWidth="1"/>
    <col min="13" max="13" width="9.5703125" style="2" customWidth="1"/>
    <col min="14" max="14" width="14.140625" style="2" customWidth="1"/>
    <col min="15" max="15" width="23.42578125" style="2" customWidth="1"/>
    <col min="16" max="16" width="16.5703125" style="2" customWidth="1"/>
    <col min="17" max="17" width="41" style="2" customWidth="1"/>
    <col min="18" max="16384" width="9.140625" style="2"/>
  </cols>
  <sheetData>
    <row r="1" spans="1:16" ht="15.75" x14ac:dyDescent="0.25">
      <c r="A1" s="10" t="s">
        <v>44</v>
      </c>
      <c r="I1" s="11" t="s">
        <v>45</v>
      </c>
      <c r="J1" s="12" t="s">
        <v>46</v>
      </c>
    </row>
    <row r="2" spans="1:16" x14ac:dyDescent="0.2">
      <c r="I2" s="13" t="s">
        <v>47</v>
      </c>
      <c r="J2" s="14" t="s">
        <v>48</v>
      </c>
    </row>
    <row r="3" spans="1:16" x14ac:dyDescent="0.2">
      <c r="A3" s="15" t="s">
        <v>49</v>
      </c>
      <c r="I3" s="13" t="s">
        <v>50</v>
      </c>
      <c r="J3" s="14" t="s">
        <v>51</v>
      </c>
    </row>
    <row r="4" spans="1:16" x14ac:dyDescent="0.2">
      <c r="I4" s="13" t="s">
        <v>52</v>
      </c>
      <c r="J4" s="14" t="s">
        <v>51</v>
      </c>
    </row>
    <row r="5" spans="1:16" ht="13.5" thickBot="1" x14ac:dyDescent="0.25">
      <c r="I5" s="16" t="s">
        <v>53</v>
      </c>
      <c r="J5" s="17" t="s">
        <v>54</v>
      </c>
    </row>
    <row r="11" spans="1:16" ht="13.5" thickBot="1" x14ac:dyDescent="0.25"/>
    <row r="12" spans="1:16" ht="12.75" customHeight="1" thickBot="1" x14ac:dyDescent="0.25">
      <c r="A12" s="1" t="str">
        <f t="shared" ref="A12:A19" si="0">P12</f>
        <v>IBVS 6092 </v>
      </c>
      <c r="B12" s="3" t="str">
        <f t="shared" ref="B12:B19" si="1">IF(H12=INT(H12),"I","II")</f>
        <v>I</v>
      </c>
      <c r="C12" s="1">
        <f t="shared" ref="C12:C19" si="2">1*G12</f>
        <v>56492.7984</v>
      </c>
      <c r="D12" s="2" t="str">
        <f t="shared" ref="D12:D19" si="3">VLOOKUP(F12,I$1:J$5,2,FALSE)</f>
        <v>vis</v>
      </c>
      <c r="E12" s="18">
        <f>VLOOKUP(C12,Active!C$21:E$973,3,FALSE)</f>
        <v>7737.1077893485808</v>
      </c>
      <c r="F12" s="3" t="s">
        <v>53</v>
      </c>
      <c r="G12" s="2" t="str">
        <f t="shared" ref="G12:G19" si="4">MID(I12,3,LEN(I12)-3)</f>
        <v>56492.7984</v>
      </c>
      <c r="H12" s="1">
        <f t="shared" ref="H12:H19" si="5">1*K12</f>
        <v>7737</v>
      </c>
      <c r="I12" s="19" t="s">
        <v>88</v>
      </c>
      <c r="J12" s="20" t="s">
        <v>89</v>
      </c>
      <c r="K12" s="19" t="s">
        <v>90</v>
      </c>
      <c r="L12" s="19" t="s">
        <v>91</v>
      </c>
      <c r="M12" s="20" t="s">
        <v>58</v>
      </c>
      <c r="N12" s="20" t="s">
        <v>92</v>
      </c>
      <c r="O12" s="21" t="s">
        <v>93</v>
      </c>
      <c r="P12" s="22" t="s">
        <v>94</v>
      </c>
    </row>
    <row r="13" spans="1:16" ht="12.75" customHeight="1" thickBot="1" x14ac:dyDescent="0.25">
      <c r="A13" s="1" t="str">
        <f t="shared" si="0"/>
        <v>BAVM 212 </v>
      </c>
      <c r="B13" s="3" t="str">
        <f t="shared" si="1"/>
        <v>I</v>
      </c>
      <c r="C13" s="1">
        <f t="shared" si="2"/>
        <v>55071.5622</v>
      </c>
      <c r="D13" s="2" t="str">
        <f t="shared" si="3"/>
        <v>vis</v>
      </c>
      <c r="E13" s="18">
        <f>VLOOKUP(C13,Active!C$21:E$973,3,FALSE)</f>
        <v>4411.9330770652614</v>
      </c>
      <c r="F13" s="3" t="s">
        <v>53</v>
      </c>
      <c r="G13" s="2" t="str">
        <f t="shared" si="4"/>
        <v>55071.5622</v>
      </c>
      <c r="H13" s="1">
        <f t="shared" si="5"/>
        <v>4412</v>
      </c>
      <c r="I13" s="19" t="s">
        <v>62</v>
      </c>
      <c r="J13" s="20" t="s">
        <v>63</v>
      </c>
      <c r="K13" s="19" t="s">
        <v>64</v>
      </c>
      <c r="L13" s="19" t="s">
        <v>65</v>
      </c>
      <c r="M13" s="20" t="s">
        <v>58</v>
      </c>
      <c r="N13" s="20" t="s">
        <v>59</v>
      </c>
      <c r="O13" s="21" t="s">
        <v>60</v>
      </c>
      <c r="P13" s="22" t="s">
        <v>61</v>
      </c>
    </row>
    <row r="14" spans="1:16" ht="12.75" customHeight="1" thickBot="1" x14ac:dyDescent="0.25">
      <c r="A14" s="1" t="str">
        <f t="shared" si="0"/>
        <v>IBVS 6033 </v>
      </c>
      <c r="B14" s="3" t="str">
        <f t="shared" si="1"/>
        <v>II</v>
      </c>
      <c r="C14" s="1">
        <f t="shared" si="2"/>
        <v>55442.338600000003</v>
      </c>
      <c r="D14" s="2" t="str">
        <f t="shared" si="3"/>
        <v>vis</v>
      </c>
      <c r="E14" s="18">
        <f>VLOOKUP(C14,Active!C$21:E$973,3,FALSE)</f>
        <v>5279.4147167754336</v>
      </c>
      <c r="F14" s="3" t="s">
        <v>53</v>
      </c>
      <c r="G14" s="2" t="str">
        <f t="shared" si="4"/>
        <v>55442.3386</v>
      </c>
      <c r="H14" s="1">
        <f t="shared" si="5"/>
        <v>5279.5</v>
      </c>
      <c r="I14" s="19" t="s">
        <v>66</v>
      </c>
      <c r="J14" s="20" t="s">
        <v>67</v>
      </c>
      <c r="K14" s="19" t="s">
        <v>68</v>
      </c>
      <c r="L14" s="19" t="s">
        <v>69</v>
      </c>
      <c r="M14" s="20" t="s">
        <v>58</v>
      </c>
      <c r="N14" s="20" t="s">
        <v>53</v>
      </c>
      <c r="O14" s="21" t="s">
        <v>70</v>
      </c>
      <c r="P14" s="22" t="s">
        <v>71</v>
      </c>
    </row>
    <row r="15" spans="1:16" ht="12.75" customHeight="1" thickBot="1" x14ac:dyDescent="0.25">
      <c r="A15" s="1" t="str">
        <f t="shared" si="0"/>
        <v>BAVM 212 </v>
      </c>
      <c r="B15" s="3" t="str">
        <f t="shared" si="1"/>
        <v>II</v>
      </c>
      <c r="C15" s="1">
        <f t="shared" si="2"/>
        <v>55791.533199999998</v>
      </c>
      <c r="D15" s="2" t="str">
        <f t="shared" si="3"/>
        <v>vis</v>
      </c>
      <c r="E15" s="18">
        <f>VLOOKUP(C15,Active!C$21:E$973,3,FALSE)</f>
        <v>6096.4028103702021</v>
      </c>
      <c r="F15" s="3" t="s">
        <v>53</v>
      </c>
      <c r="G15" s="2" t="str">
        <f t="shared" si="4"/>
        <v>55791.5332</v>
      </c>
      <c r="H15" s="1">
        <f t="shared" si="5"/>
        <v>6096.5</v>
      </c>
      <c r="I15" s="19" t="s">
        <v>72</v>
      </c>
      <c r="J15" s="20" t="s">
        <v>73</v>
      </c>
      <c r="K15" s="19" t="s">
        <v>74</v>
      </c>
      <c r="L15" s="19" t="s">
        <v>75</v>
      </c>
      <c r="M15" s="20" t="s">
        <v>58</v>
      </c>
      <c r="N15" s="20" t="s">
        <v>59</v>
      </c>
      <c r="O15" s="21" t="s">
        <v>60</v>
      </c>
      <c r="P15" s="22" t="s">
        <v>61</v>
      </c>
    </row>
    <row r="16" spans="1:16" ht="12.75" customHeight="1" thickBot="1" x14ac:dyDescent="0.25">
      <c r="A16" s="1" t="str">
        <f t="shared" si="0"/>
        <v>BAVM 212 </v>
      </c>
      <c r="B16" s="3" t="str">
        <f t="shared" si="1"/>
        <v>II</v>
      </c>
      <c r="C16" s="1">
        <f t="shared" si="2"/>
        <v>55806.4902</v>
      </c>
      <c r="D16" s="2" t="str">
        <f t="shared" si="3"/>
        <v>vis</v>
      </c>
      <c r="E16" s="18">
        <f>VLOOKUP(C16,Active!C$21:E$973,3,FALSE)</f>
        <v>6131.3967390160024</v>
      </c>
      <c r="F16" s="3" t="s">
        <v>53</v>
      </c>
      <c r="G16" s="2" t="str">
        <f t="shared" si="4"/>
        <v>55806.4902</v>
      </c>
      <c r="H16" s="1">
        <f t="shared" si="5"/>
        <v>6131.5</v>
      </c>
      <c r="I16" s="19" t="s">
        <v>76</v>
      </c>
      <c r="J16" s="20" t="s">
        <v>77</v>
      </c>
      <c r="K16" s="19" t="s">
        <v>78</v>
      </c>
      <c r="L16" s="19" t="s">
        <v>79</v>
      </c>
      <c r="M16" s="20" t="s">
        <v>58</v>
      </c>
      <c r="N16" s="20" t="s">
        <v>59</v>
      </c>
      <c r="O16" s="21" t="s">
        <v>60</v>
      </c>
      <c r="P16" s="22" t="s">
        <v>61</v>
      </c>
    </row>
    <row r="17" spans="1:16" ht="12.75" customHeight="1" thickBot="1" x14ac:dyDescent="0.25">
      <c r="A17" s="1" t="str">
        <f t="shared" si="0"/>
        <v>BAVM 212 </v>
      </c>
      <c r="B17" s="3" t="str">
        <f t="shared" si="1"/>
        <v>I</v>
      </c>
      <c r="C17" s="1">
        <f t="shared" si="2"/>
        <v>55807.555699999997</v>
      </c>
      <c r="D17" s="2" t="str">
        <f t="shared" si="3"/>
        <v>vis</v>
      </c>
      <c r="E17" s="18">
        <f>VLOOKUP(C17,Active!C$21:E$973,3,FALSE)</f>
        <v>6133.8896206748905</v>
      </c>
      <c r="F17" s="3" t="s">
        <v>53</v>
      </c>
      <c r="G17" s="2" t="str">
        <f t="shared" si="4"/>
        <v>55807.5557</v>
      </c>
      <c r="H17" s="1">
        <f t="shared" si="5"/>
        <v>6134</v>
      </c>
      <c r="I17" s="19" t="s">
        <v>80</v>
      </c>
      <c r="J17" s="20" t="s">
        <v>81</v>
      </c>
      <c r="K17" s="19" t="s">
        <v>82</v>
      </c>
      <c r="L17" s="19" t="s">
        <v>83</v>
      </c>
      <c r="M17" s="20" t="s">
        <v>58</v>
      </c>
      <c r="N17" s="20" t="s">
        <v>59</v>
      </c>
      <c r="O17" s="21" t="s">
        <v>60</v>
      </c>
      <c r="P17" s="22" t="s">
        <v>61</v>
      </c>
    </row>
    <row r="18" spans="1:16" ht="12.75" customHeight="1" thickBot="1" x14ac:dyDescent="0.25">
      <c r="A18" s="1" t="str">
        <f t="shared" si="0"/>
        <v>IBVS 6033 </v>
      </c>
      <c r="B18" s="3" t="str">
        <f t="shared" si="1"/>
        <v>II</v>
      </c>
      <c r="C18" s="1">
        <f t="shared" si="2"/>
        <v>55827.431600000004</v>
      </c>
      <c r="D18" s="2" t="str">
        <f t="shared" si="3"/>
        <v>vis</v>
      </c>
      <c r="E18" s="18">
        <f>VLOOKUP(C18,Active!C$21:E$973,3,FALSE)</f>
        <v>6180.3919825369749</v>
      </c>
      <c r="F18" s="3" t="s">
        <v>53</v>
      </c>
      <c r="G18" s="2" t="str">
        <f t="shared" si="4"/>
        <v>55827.4316</v>
      </c>
      <c r="H18" s="1">
        <f t="shared" si="5"/>
        <v>6180.5</v>
      </c>
      <c r="I18" s="19" t="s">
        <v>84</v>
      </c>
      <c r="J18" s="20" t="s">
        <v>85</v>
      </c>
      <c r="K18" s="19" t="s">
        <v>86</v>
      </c>
      <c r="L18" s="19" t="s">
        <v>87</v>
      </c>
      <c r="M18" s="20" t="s">
        <v>58</v>
      </c>
      <c r="N18" s="20" t="s">
        <v>53</v>
      </c>
      <c r="O18" s="21" t="s">
        <v>70</v>
      </c>
      <c r="P18" s="22" t="s">
        <v>71</v>
      </c>
    </row>
    <row r="19" spans="1:16" ht="12.75" customHeight="1" thickBot="1" x14ac:dyDescent="0.25">
      <c r="A19" s="1" t="str">
        <f t="shared" si="0"/>
        <v>BAVM 212 </v>
      </c>
      <c r="B19" s="3" t="str">
        <f t="shared" si="1"/>
        <v>II</v>
      </c>
      <c r="C19" s="1">
        <f t="shared" si="2"/>
        <v>55071.352299999999</v>
      </c>
      <c r="D19" s="2" t="str">
        <f t="shared" si="3"/>
        <v>vis</v>
      </c>
      <c r="E19" s="18">
        <f>VLOOKUP(C19,Active!C$21:E$973,3,FALSE)</f>
        <v>4411.4419875671792</v>
      </c>
      <c r="F19" s="3" t="s">
        <v>53</v>
      </c>
      <c r="G19" s="2" t="str">
        <f t="shared" si="4"/>
        <v>55071.3523</v>
      </c>
      <c r="H19" s="1">
        <f t="shared" si="5"/>
        <v>4411.5</v>
      </c>
      <c r="I19" s="19" t="s">
        <v>55</v>
      </c>
      <c r="J19" s="20" t="s">
        <v>56</v>
      </c>
      <c r="K19" s="19">
        <v>4411.5</v>
      </c>
      <c r="L19" s="19" t="s">
        <v>57</v>
      </c>
      <c r="M19" s="20" t="s">
        <v>58</v>
      </c>
      <c r="N19" s="20" t="s">
        <v>59</v>
      </c>
      <c r="O19" s="21" t="s">
        <v>60</v>
      </c>
      <c r="P19" s="22" t="s">
        <v>61</v>
      </c>
    </row>
    <row r="20" spans="1:16" x14ac:dyDescent="0.2">
      <c r="B20" s="3"/>
      <c r="E20" s="18"/>
      <c r="F20" s="3"/>
    </row>
    <row r="21" spans="1:16" x14ac:dyDescent="0.2">
      <c r="B21" s="3"/>
      <c r="E21" s="18"/>
      <c r="F21" s="3"/>
    </row>
    <row r="22" spans="1:16" x14ac:dyDescent="0.2">
      <c r="B22" s="3"/>
      <c r="E22" s="18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</sheetData>
  <phoneticPr fontId="7" type="noConversion"/>
  <hyperlinks>
    <hyperlink ref="P19" r:id="rId1" display="http://www.bav-astro.de/sfs/BAVM_link.php?BAVMnr=212" xr:uid="{00000000-0004-0000-0100-000000000000}"/>
    <hyperlink ref="P13" r:id="rId2" display="http://www.bav-astro.de/sfs/BAVM_link.php?BAVMnr=212" xr:uid="{00000000-0004-0000-0100-000001000000}"/>
    <hyperlink ref="P14" r:id="rId3" display="http://www.konkoly.hu/cgi-bin/IBVS?6033" xr:uid="{00000000-0004-0000-0100-000002000000}"/>
    <hyperlink ref="P15" r:id="rId4" display="http://www.bav-astro.de/sfs/BAVM_link.php?BAVMnr=212" xr:uid="{00000000-0004-0000-0100-000003000000}"/>
    <hyperlink ref="P16" r:id="rId5" display="http://www.bav-astro.de/sfs/BAVM_link.php?BAVMnr=212" xr:uid="{00000000-0004-0000-0100-000004000000}"/>
    <hyperlink ref="P17" r:id="rId6" display="http://www.bav-astro.de/sfs/BAVM_link.php?BAVMnr=212" xr:uid="{00000000-0004-0000-0100-000005000000}"/>
    <hyperlink ref="P18" r:id="rId7" display="http://www.konkoly.hu/cgi-bin/IBVS?6033" xr:uid="{00000000-0004-0000-0100-000006000000}"/>
    <hyperlink ref="P12" r:id="rId8" display="http://www.konkoly.hu/cgi-bin/IBVS?6092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2024-07-29T05:18:01Z</dcterms:modified>
</cp:coreProperties>
</file>