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F639776-8282-46C2-AC21-D875F9F298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1" i="1"/>
  <c r="Q22" i="1"/>
  <c r="C21" i="1"/>
  <c r="G11" i="1"/>
  <c r="C7" i="1"/>
  <c r="E22" i="1"/>
  <c r="F22" i="1"/>
  <c r="C8" i="1"/>
  <c r="E21" i="1"/>
  <c r="F21" i="1"/>
  <c r="G21" i="1"/>
  <c r="Q21" i="1"/>
  <c r="R22" i="1"/>
  <c r="G22" i="1"/>
  <c r="I22" i="1"/>
  <c r="C17" i="1"/>
  <c r="H21" i="1"/>
  <c r="C11" i="1"/>
  <c r="F15" i="1" l="1"/>
  <c r="C12" i="1"/>
  <c r="C16" i="1" l="1"/>
  <c r="D18" i="1" s="1"/>
  <c r="O21" i="1"/>
  <c r="O22" i="1"/>
  <c r="C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<sst xmlns="http://schemas.openxmlformats.org/spreadsheetml/2006/main" count="52" uniqueCount="50">
  <si>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</si>
  <si>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</si>
  <si>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</si>
  <si>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</si>
  <si>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</si>
  <si>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</si>
  <si>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</si>
  <si>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</si>
  <si>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</si>
  <si>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</si>
  <si>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</si>
  <si>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</si>
  <si>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</si>
  <si>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</si>
  <si>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</si>
  <si>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</si>
  <si>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</si>
  <si>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</si>
  <si>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</si>
  <si>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</si>
  <si>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</si>
  <si>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</si>
  <si>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</si>
  <si>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</si>
  <si>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</si>
  <si>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</si>
  <si>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</si>
  <si>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</si>
  <si>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</si>
  <si>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</si>
  <si>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</si>
  <si>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</si>
  <si>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</si>
  <si>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</si>
  <si>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</si>
  <si>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EW</t>
  </si>
  <si>
    <t>IBVS 5599 Eph.</t>
  </si>
  <si>
    <t>IBVS 5599</t>
  </si>
  <si>
    <t>Vul</t>
  </si>
  <si>
    <t>IBVS 5929</t>
  </si>
  <si>
    <t xml:space="preserve">V0497 Vul / GSC 2144-1499 </t>
  </si>
  <si>
    <t>CCD</t>
  </si>
  <si>
    <t>Nelson pers com</t>
  </si>
  <si>
    <t>Add cycle</t>
  </si>
  <si>
    <t>Old Cycle</t>
  </si>
  <si>
    <t>Next ToM-P</t>
  </si>
  <si>
    <t>Next ToM-S</t>
  </si>
  <si>
    <t xml:space="preserve">Mag </t>
  </si>
  <si>
    <t>12.9-13.7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</si>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</sst>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61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2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/>
    <xf numFmtId="0" fontId="11" fillId="0" borderId="0" xfId="0" applyFont="1" applyAlignment="1">
      <alignment horizontal="left"/>
    </xf>
    <xf numFmtId="0" fontId="13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1" xfId="0" applyBorder="1" applyAlignment="1"/>
    <xf numFmtId="0" fontId="10" fillId="0" borderId="0" xfId="0" applyFont="1" applyAlignment="1"/>
    <xf numFmtId="0" fontId="11" fillId="0" borderId="0" xfId="0" applyFont="1" applyAlignment="1"/>
    <xf numFmtId="0" fontId="7" fillId="0" borderId="0" xfId="0" applyFont="1" applyAlignment="1">
      <alignment horizontal="left"/>
    </xf>
    <xf numFmtId="0" fontId="3" fillId="0" borderId="0" xfId="0" applyFont="1" applyAlignment="1"/>
    <xf numFmtId="0" fontId="9" fillId="0" borderId="0" xfId="0" applyFont="1" applyAlignment="1"/>
    <xf numFmtId="0" fontId="0" fillId="0" borderId="4" xfId="0" applyBorder="1" applyAlignment="1"/>
    <xf numFmtId="0" fontId="0" fillId="0" borderId="5" xfId="0" applyBorder="1" applyAlignment="1"/>
    <xf numFmtId="0" fontId="12" fillId="0" borderId="0" xfId="0" applyFont="1" applyAlignment="1"/>
    <xf numFmtId="0" fontId="4" fillId="0" borderId="1" xfId="0" applyFont="1" applyBorder="1" applyAlignment="1"/>
    <xf numFmtId="0" fontId="15" fillId="0" borderId="1" xfId="0" applyFont="1" applyBorder="1" applyAlignment="1"/>
    <xf numFmtId="0" fontId="14" fillId="0" borderId="0" xfId="0" applyFont="1" applyAlignment="1"/>
    <xf numFmtId="0" fontId="14" fillId="2" borderId="6" xfId="0" applyFont="1" applyFill="1" applyBorder="1" applyAlignment="1">
      <alignment horizontal="right" vertical="center"/>
    </xf>
    <xf numFmtId="0" fontId="14" fillId="2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/>
    </xf>
    <xf numFmtId="0" fontId="17" fillId="0" borderId="9" xfId="0" applyFont="1" applyBorder="1" applyAlignment="1"/>
    <xf numFmtId="0" fontId="18" fillId="0" borderId="9" xfId="0" applyFont="1" applyBorder="1" applyAlignment="1"/>
    <xf numFmtId="22" fontId="16" fillId="0" borderId="8" xfId="0" applyNumberFormat="1" applyFont="1" applyBorder="1" applyAlignment="1">
      <alignment horizontal="right"/>
    </xf>
    <xf numFmtId="22" fontId="18" fillId="0" borderId="9" xfId="0" applyNumberFormat="1" applyFont="1" applyBorder="1" applyAlignment="1"/>
    <xf numFmtId="22" fontId="18" fillId="0" borderId="10" xfId="0" applyNumberFormat="1" applyFont="1" applyBorder="1" applyAlignment="1"/>
    <xf numFmtId="0" fontId="16" fillId="0" borderId="11" xfId="0" applyFont="1" applyBorder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V0497 Vul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AB-4660-AC46-CE20EB29F72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-4.1940000024624169E-2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AB-4660-AC46-CE20EB29F72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AB-4660-AC46-CE20EB29F72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AB-4660-AC46-CE20EB29F72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AB-4660-AC46-CE20EB29F72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DAB-4660-AC46-CE20EB29F72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DAB-4660-AC46-CE20EB29F72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-4.1940000024624169E-2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DAB-4660-AC46-CE20EB29F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0423832"/>
        <c:axId val="1"/>
      </c:scatterChart>
      <c:valAx>
        <c:axId val="800423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0423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75366568914952"/>
          <c:w val="0.664661654135338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0</xdr:row>
      <xdr:rowOff>0</xdr:rowOff>
    </xdr:from>
    <xdr:to>
      <xdr:col>17</xdr:col>
      <xdr:colOff>285750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5BE29CE-1B55-B17C-EE6F-6EADCB975C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57031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28" t="s">
        <v>40</v>
      </c>
      <c r="D1" t="s">
        <v>38</v>
      </c>
    </row>
    <row r="2" spans="1:7" ht="12.95" customHeight="1" x14ac:dyDescent="0.2">
      <c r="A2" t="s">
        <v>23</v>
      </c>
      <c r="B2" s="18" t="s">
        <v>35</v>
      </c>
      <c r="C2" s="2"/>
    </row>
    <row r="3" spans="1:7" ht="12.95" customHeight="1" thickBot="1" x14ac:dyDescent="0.25"/>
    <row r="4" spans="1:7" ht="12.95" customHeight="1" thickTop="1" thickBot="1" x14ac:dyDescent="0.25">
      <c r="A4" s="14" t="s">
        <v>36</v>
      </c>
      <c r="C4" s="7">
        <v>53284.30700000003</v>
      </c>
      <c r="D4" s="8">
        <v>0.36424000000000001</v>
      </c>
    </row>
    <row r="5" spans="1:7" ht="12.95" customHeight="1" x14ac:dyDescent="0.2"/>
    <row r="6" spans="1:7" ht="12.95" customHeight="1" x14ac:dyDescent="0.2">
      <c r="A6" s="4" t="s">
        <v>0</v>
      </c>
    </row>
    <row r="7" spans="1:7" ht="12.95" customHeight="1" x14ac:dyDescent="0.2">
      <c r="A7" t="s">
        <v>1</v>
      </c>
      <c r="C7">
        <f>+C4</f>
        <v>53284.30700000003</v>
      </c>
      <c r="D7" s="29" t="s">
        <v>49</v>
      </c>
    </row>
    <row r="8" spans="1:7" ht="12.95" customHeight="1" x14ac:dyDescent="0.2">
      <c r="A8" t="s">
        <v>2</v>
      </c>
      <c r="C8">
        <f>+D4</f>
        <v>0.36424000000000001</v>
      </c>
      <c r="D8" s="29" t="s">
        <v>49</v>
      </c>
    </row>
    <row r="9" spans="1:7" ht="12.95" customHeight="1" x14ac:dyDescent="0.2">
      <c r="A9" s="19" t="s">
        <v>30</v>
      </c>
      <c r="C9" s="20">
        <v>-9.5</v>
      </c>
      <c r="D9" t="s">
        <v>31</v>
      </c>
    </row>
    <row r="10" spans="1:7" ht="12.95" customHeight="1" thickBot="1" x14ac:dyDescent="0.25">
      <c r="C10" s="3" t="s">
        <v>19</v>
      </c>
      <c r="D10" s="3" t="s">
        <v>20</v>
      </c>
    </row>
    <row r="11" spans="1:7" ht="12.95" customHeight="1" x14ac:dyDescent="0.2">
      <c r="A11" t="s">
        <v>14</v>
      </c>
      <c r="C11" s="12">
        <f ca="1">INTERCEPT(INDIRECT($G$11):G992,INDIRECT($F$11):F992)</f>
        <v>0</v>
      </c>
      <c r="D11" s="2"/>
      <c r="F11" s="21" t="str">
        <f>"F"&amp;E19</f>
        <v>F21</v>
      </c>
      <c r="G11" s="12" t="str">
        <f>"G"&amp;E19</f>
        <v>G21</v>
      </c>
    </row>
    <row r="12" spans="1:7" ht="12.95" customHeight="1" x14ac:dyDescent="0.2">
      <c r="A12" t="s">
        <v>15</v>
      </c>
      <c r="C12" s="12">
        <f ca="1">SLOPE(INDIRECT($G$11):G992,INDIRECT($F$11):F992)</f>
        <v>-8.9884269234085237E-6</v>
      </c>
      <c r="D12" s="2"/>
      <c r="E12" s="30" t="s">
        <v>47</v>
      </c>
      <c r="F12" s="31" t="s">
        <v>48</v>
      </c>
    </row>
    <row r="13" spans="1:7" ht="12.95" customHeight="1" x14ac:dyDescent="0.2">
      <c r="A13" t="s">
        <v>18</v>
      </c>
      <c r="C13" s="2" t="s">
        <v>12</v>
      </c>
      <c r="D13" s="2"/>
      <c r="E13" s="32" t="s">
        <v>43</v>
      </c>
      <c r="F13" s="33">
        <v>1</v>
      </c>
    </row>
    <row r="14" spans="1:7" ht="12.95" customHeight="1" x14ac:dyDescent="0.2">
      <c r="E14" s="32" t="s">
        <v>32</v>
      </c>
      <c r="F14" s="34">
        <f ca="1">NOW()+15018.5+$C$5/24</f>
        <v>60519.225287847221</v>
      </c>
    </row>
    <row r="15" spans="1:7" ht="12.95" customHeight="1" x14ac:dyDescent="0.2">
      <c r="A15" s="22" t="s">
        <v>16</v>
      </c>
      <c r="C15" s="10">
        <f ca="1">(C7+C11)+(C8+C12)*INT(MAX(F21:F3533))</f>
        <v>54983.808900000004</v>
      </c>
      <c r="D15" s="23"/>
      <c r="E15" s="32" t="s">
        <v>44</v>
      </c>
      <c r="F15" s="34">
        <f ca="1">ROUND(2*($F$14-$C$7)/$C$8,0)/2+$F$13</f>
        <v>19864</v>
      </c>
    </row>
    <row r="16" spans="1:7" ht="12.95" customHeight="1" x14ac:dyDescent="0.2">
      <c r="A16" s="4" t="s">
        <v>3</v>
      </c>
      <c r="C16" s="11">
        <f ca="1">+C8+C12</f>
        <v>0.36423101157307658</v>
      </c>
      <c r="D16" s="23"/>
      <c r="E16" s="32" t="s">
        <v>33</v>
      </c>
      <c r="F16" s="34">
        <f ca="1">ROUND(2*($F$14-$C$15)/$C$16,0)/2+$F$13</f>
        <v>15198.5</v>
      </c>
    </row>
    <row r="17" spans="1:23" ht="12.95" customHeight="1" thickBot="1" x14ac:dyDescent="0.25">
      <c r="A17" s="23" t="s">
        <v>29</v>
      </c>
      <c r="C17">
        <f>COUNT(C21:C2191)</f>
        <v>2</v>
      </c>
      <c r="D17" s="23"/>
      <c r="E17" s="35" t="s">
        <v>45</v>
      </c>
      <c r="F17" s="36">
        <f ca="1">+$C$15+$C$16*$F$16-15018.5-$C$9/24</f>
        <v>45501.469762726745</v>
      </c>
    </row>
    <row r="18" spans="1:23" ht="12.95" customHeight="1" thickTop="1" thickBot="1" x14ac:dyDescent="0.25">
      <c r="A18" s="4" t="s">
        <v>4</v>
      </c>
      <c r="C18" s="24">
        <f ca="1">+C15</f>
        <v>54983.808900000004</v>
      </c>
      <c r="D18" s="25">
        <f ca="1">+C16</f>
        <v>0.36423101157307658</v>
      </c>
      <c r="E18" s="38" t="s">
        <v>46</v>
      </c>
      <c r="F18" s="37">
        <f ca="1">+($C$15+$C$16*$F$16)-($C$16/2)-15018.5-$C$9/24</f>
        <v>45501.287647220961</v>
      </c>
    </row>
    <row r="19" spans="1:23" ht="12.95" customHeight="1" thickTop="1" x14ac:dyDescent="0.2">
      <c r="A19" s="26" t="s">
        <v>34</v>
      </c>
      <c r="E19" s="13">
        <v>21</v>
      </c>
    </row>
    <row r="20" spans="1:23" ht="12.95" customHeight="1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23" ht="12.95" customHeight="1" x14ac:dyDescent="0.2">
      <c r="A21" s="27" t="s">
        <v>37</v>
      </c>
      <c r="C21" s="9">
        <f>+C4</f>
        <v>53284.30700000003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1">
        <f>+C21-15018.5</f>
        <v>38265.80700000003</v>
      </c>
    </row>
    <row r="22" spans="1:23" ht="12.95" customHeight="1" x14ac:dyDescent="0.2">
      <c r="A22" s="4" t="s">
        <v>39</v>
      </c>
      <c r="C22" s="9">
        <v>54983.808900000004</v>
      </c>
      <c r="D22" s="9">
        <v>5.0000000000000001E-4</v>
      </c>
      <c r="E22">
        <f>+(C22-C$7)/C$8</f>
        <v>4665.8848561387376</v>
      </c>
      <c r="F22">
        <f>ROUND(2*E22,0)/2</f>
        <v>4666</v>
      </c>
      <c r="G22">
        <f>+C22-(C$7+F22*C$8)</f>
        <v>-4.1940000024624169E-2</v>
      </c>
      <c r="I22">
        <f>+G22</f>
        <v>-4.1940000024624169E-2</v>
      </c>
      <c r="O22">
        <f ca="1">+C$11+C$12*$F22</f>
        <v>-4.1940000024624169E-2</v>
      </c>
      <c r="Q22" s="1">
        <f>+C22-15018.5</f>
        <v>39965.308900000004</v>
      </c>
      <c r="R22" t="str">
        <f>IF(ABS(C22-C21)&lt;0.00001,1,"")</f>
        <v/>
      </c>
      <c r="W22" s="29" t="s">
        <v>42</v>
      </c>
    </row>
    <row r="23" spans="1:23" s="15" customFormat="1" ht="12.95" customHeight="1" x14ac:dyDescent="0.2">
      <c r="C23" s="16"/>
      <c r="D23" s="16"/>
      <c r="Q23" s="17"/>
    </row>
    <row r="24" spans="1:23" s="15" customFormat="1" ht="12.95" customHeight="1" x14ac:dyDescent="0.2">
      <c r="C24" s="16"/>
      <c r="D24" s="16"/>
      <c r="Q24" s="17"/>
    </row>
    <row r="25" spans="1:23" s="15" customFormat="1" ht="12.95" customHeight="1" x14ac:dyDescent="0.2">
      <c r="C25" s="16"/>
      <c r="D25" s="16"/>
      <c r="Q25" s="17"/>
    </row>
    <row r="26" spans="1:23" s="15" customFormat="1" ht="12.95" customHeight="1" x14ac:dyDescent="0.2">
      <c r="C26" s="16"/>
      <c r="D26" s="16"/>
      <c r="Q26" s="17"/>
    </row>
    <row r="27" spans="1:23" s="15" customFormat="1" ht="12.95" customHeight="1" x14ac:dyDescent="0.2">
      <c r="C27" s="16"/>
      <c r="D27" s="16"/>
      <c r="Q27" s="17"/>
    </row>
    <row r="28" spans="1:23" s="15" customFormat="1" ht="12.95" customHeight="1" x14ac:dyDescent="0.2">
      <c r="C28" s="16"/>
      <c r="D28" s="16"/>
      <c r="Q28" s="17"/>
    </row>
    <row r="29" spans="1:23" s="15" customFormat="1" ht="12.95" customHeight="1" x14ac:dyDescent="0.2">
      <c r="C29" s="16"/>
      <c r="D29" s="16"/>
      <c r="Q29" s="17"/>
    </row>
    <row r="30" spans="1:23" s="15" customFormat="1" ht="12.95" customHeight="1" x14ac:dyDescent="0.2">
      <c r="C30" s="16"/>
      <c r="D30" s="16"/>
      <c r="Q30" s="17"/>
    </row>
    <row r="31" spans="1:23" s="15" customFormat="1" ht="12.95" customHeight="1" x14ac:dyDescent="0.2">
      <c r="C31" s="16"/>
      <c r="D31" s="16"/>
      <c r="Q31" s="17"/>
    </row>
    <row r="32" spans="1:23" s="15" customFormat="1" ht="12.95" customHeight="1" x14ac:dyDescent="0.2">
      <c r="C32" s="16"/>
      <c r="D32" s="16"/>
      <c r="Q32" s="17"/>
    </row>
    <row r="33" spans="3:17" s="15" customFormat="1" ht="12.95" customHeight="1" x14ac:dyDescent="0.2">
      <c r="C33" s="16"/>
      <c r="D33" s="16"/>
      <c r="Q33" s="17"/>
    </row>
    <row r="34" spans="3:17" s="15" customFormat="1" ht="12.95" customHeight="1" x14ac:dyDescent="0.2">
      <c r="C34" s="16"/>
      <c r="D34" s="16"/>
    </row>
    <row r="35" spans="3:17" s="15" customFormat="1" ht="12.95" customHeight="1" x14ac:dyDescent="0.2">
      <c r="C35" s="16"/>
      <c r="D35" s="16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2024-07-27T07:54:24Z</dcterms:modified>
</cp:coreProperties>
</file>