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F7596C8-F637-4291-85C6-532DAD0B5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F14" i="1"/>
  <c r="F15" i="1" s="1"/>
  <c r="C17" i="1"/>
  <c r="Q21" i="1"/>
  <c r="C12" i="1"/>
  <c r="C16" i="1" l="1"/>
  <c r="D18" i="1" s="1"/>
  <c r="C11" i="1"/>
  <c r="C15" i="1" l="1"/>
  <c r="O22" i="1"/>
  <c r="S22" i="1" s="1"/>
  <c r="O21" i="1"/>
  <c r="S21" i="1" s="1"/>
  <c r="S19" i="1" l="1"/>
  <c r="C18" i="1"/>
  <c r="F16" i="1"/>
  <c r="F17" i="1" s="1"/>
  <c r="F18" i="1" l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<sst xmlns="http://schemas.openxmlformats.org/spreadsheetml/2006/main" count="53" uniqueCount="50">
  <si>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</si>
  <si>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</si>
  <si>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</si>
  <si>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</si>
  <si>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</si>
  <si>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</si>
  <si>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</si>
  <si>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</si>
  <si>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</si>
  <si>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</si>
  <si>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</si>
  <si>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</si>
  <si>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</si>
  <si>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</si>
  <si>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</si>
  <si>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</si>
  <si>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</si>
  <si>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</si>
  <si>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</si>
  <si>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</si>
  <si>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</si>
  <si>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</si>
  <si>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</si>
  <si>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</si>
  <si>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</si>
  <si>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</si>
  <si>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</si>
  <si>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</si>
  <si>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</si>
  <si>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</si>
  <si>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</si>
  <si>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</si>
  <si>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</si>
  <si>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</si>
  <si>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</si>
  <si>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</si>
  <si>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</si>
  <si>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</si>
  <si>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</si>
  <si>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G1646-0052_Vul.xls</t>
  </si>
  <si>
    <t>VSX</t>
  </si>
  <si>
    <t>IBVS 5945</t>
  </si>
  <si>
    <t>I</t>
  </si>
  <si>
    <t>CCD</t>
  </si>
  <si>
    <t>V0550 Vul / GSC 1646-0052</t>
  </si>
  <si>
    <t>Next ToM-P</t>
  </si>
  <si>
    <t>Next ToM-S</t>
  </si>
  <si>
    <t xml:space="preserve">Mag </t>
  </si>
  <si>
    <t>13.0-&lt;14.1</t>
  </si>
  <si>
    <t>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</si>
</sst>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1"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22" fontId="18" fillId="0" borderId="8" xfId="0" applyNumberFormat="1" applyFont="1" applyBorder="1" applyAlignment="1">
      <alignment vertical="center"/>
    </xf>
    <xf numFmtId="22" fontId="18" fillId="0" borderId="9" xfId="0" applyNumberFormat="1" applyFont="1" applyBorder="1" applyAlignment="1">
      <alignment vertical="center"/>
    </xf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V0550 Vul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01-4D64-8F34-2E03AE373A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7.3849999243975617E-3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01-4D64-8F34-2E03AE373A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01-4D64-8F34-2E03AE373A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01-4D64-8F34-2E03AE373A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01-4D64-8F34-2E03AE373A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01-4D64-8F34-2E03AE373A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01-4D64-8F34-2E03AE373A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7.3849999243975617E-3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01-4D64-8F34-2E03AE373A2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01-4D64-8F34-2E03AE373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086112"/>
        <c:axId val="1"/>
      </c:scatterChart>
      <c:valAx>
        <c:axId val="854086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4086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0141BBA-CA96-054D-BDE1-096860711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4" customFormat="1" ht="20.25" x14ac:dyDescent="0.2">
      <c r="A1" s="30" t="s">
        <v>44</v>
      </c>
      <c r="E1" s="4" t="s">
        <v>39</v>
      </c>
    </row>
    <row r="2" spans="1:7" s="4" customFormat="1" ht="12.95" customHeight="1" x14ac:dyDescent="0.2">
      <c r="A2" s="4" t="s">
        <v>24</v>
      </c>
      <c r="B2" s="31" t="s">
        <v>49</v>
      </c>
      <c r="C2" s="5"/>
    </row>
    <row r="3" spans="1:7" s="4" customFormat="1" ht="12.95" customHeight="1" thickBot="1" x14ac:dyDescent="0.25"/>
    <row r="4" spans="1:7" s="4" customFormat="1" ht="12.95" customHeight="1" thickTop="1" thickBot="1" x14ac:dyDescent="0.25">
      <c r="A4" s="7" t="s">
        <v>0</v>
      </c>
      <c r="C4" s="8" t="s">
        <v>38</v>
      </c>
      <c r="D4" s="9" t="s">
        <v>38</v>
      </c>
    </row>
    <row r="5" spans="1:7" s="4" customFormat="1" ht="12.95" customHeight="1" x14ac:dyDescent="0.2"/>
    <row r="6" spans="1:7" s="4" customFormat="1" ht="12.95" customHeight="1" x14ac:dyDescent="0.2">
      <c r="A6" s="7" t="s">
        <v>1</v>
      </c>
      <c r="C6" s="29"/>
    </row>
    <row r="7" spans="1:7" s="4" customFormat="1" ht="12.95" customHeight="1" x14ac:dyDescent="0.2">
      <c r="A7" s="4" t="s">
        <v>2</v>
      </c>
      <c r="C7" s="29">
        <v>53880.830000000075</v>
      </c>
      <c r="D7" s="11" t="s">
        <v>40</v>
      </c>
    </row>
    <row r="8" spans="1:7" s="4" customFormat="1" ht="12.95" customHeight="1" x14ac:dyDescent="0.2">
      <c r="A8" s="4" t="s">
        <v>3</v>
      </c>
      <c r="C8" s="29">
        <v>0.83340499999999995</v>
      </c>
      <c r="D8" s="11" t="s">
        <v>40</v>
      </c>
    </row>
    <row r="9" spans="1:7" s="4" customFormat="1" ht="12.95" customHeight="1" x14ac:dyDescent="0.2">
      <c r="A9" s="12" t="s">
        <v>30</v>
      </c>
      <c r="C9" s="13">
        <v>-9.5</v>
      </c>
      <c r="D9" s="4" t="s">
        <v>31</v>
      </c>
    </row>
    <row r="10" spans="1:7" s="4" customFormat="1" ht="12.95" customHeight="1" thickBot="1" x14ac:dyDescent="0.25">
      <c r="C10" s="14" t="s">
        <v>20</v>
      </c>
      <c r="D10" s="14" t="s">
        <v>21</v>
      </c>
    </row>
    <row r="11" spans="1:7" s="4" customFormat="1" ht="12.95" customHeight="1" x14ac:dyDescent="0.2">
      <c r="A11" s="4" t="s">
        <v>15</v>
      </c>
      <c r="C11" s="15">
        <f ca="1">INTERCEPT(INDIRECT($G$11):G992,INDIRECT($F$11):F992)</f>
        <v>0</v>
      </c>
      <c r="D11" s="6"/>
      <c r="F11" s="16" t="str">
        <f>"F"&amp;E19</f>
        <v>F21</v>
      </c>
      <c r="G11" s="15" t="str">
        <f>"G"&amp;E19</f>
        <v>G21</v>
      </c>
    </row>
    <row r="12" spans="1:7" s="4" customFormat="1" ht="12.95" customHeight="1" x14ac:dyDescent="0.2">
      <c r="A12" s="4" t="s">
        <v>16</v>
      </c>
      <c r="C12" s="15">
        <f ca="1">SLOPE(INDIRECT($G$11):G992,INDIRECT($F$11):F992)</f>
        <v>4.1418956390339661E-6</v>
      </c>
      <c r="D12" s="6"/>
      <c r="E12" s="32" t="s">
        <v>47</v>
      </c>
      <c r="F12" s="33" t="s">
        <v>48</v>
      </c>
    </row>
    <row r="13" spans="1:7" s="4" customFormat="1" ht="12.95" customHeight="1" x14ac:dyDescent="0.2">
      <c r="A13" s="4" t="s">
        <v>19</v>
      </c>
      <c r="C13" s="6" t="s">
        <v>13</v>
      </c>
      <c r="E13" s="34" t="s">
        <v>35</v>
      </c>
      <c r="F13" s="35">
        <v>1</v>
      </c>
    </row>
    <row r="14" spans="1:7" s="4" customFormat="1" ht="12.95" customHeight="1" x14ac:dyDescent="0.2">
      <c r="E14" s="34" t="s">
        <v>32</v>
      </c>
      <c r="F14" s="36">
        <f ca="1">NOW()+15018.5+$C$9/24</f>
        <v>60519.753405324074</v>
      </c>
    </row>
    <row r="15" spans="1:7" s="4" customFormat="1" ht="12.95" customHeight="1" x14ac:dyDescent="0.2">
      <c r="A15" s="18" t="s">
        <v>17</v>
      </c>
      <c r="C15" s="19">
        <f ca="1">(C7+C11)+(C8+C12)*INT(MAX(F21:F3533))</f>
        <v>55366.798499999997</v>
      </c>
      <c r="E15" s="34" t="s">
        <v>36</v>
      </c>
      <c r="F15" s="36">
        <f ca="1">ROUND(2*(F14-$C$7)/$C$8,0)/2+F13</f>
        <v>7967</v>
      </c>
    </row>
    <row r="16" spans="1:7" s="4" customFormat="1" ht="12.95" customHeight="1" x14ac:dyDescent="0.2">
      <c r="A16" s="7" t="s">
        <v>4</v>
      </c>
      <c r="C16" s="20">
        <f ca="1">+C8+C12</f>
        <v>0.83340914189563897</v>
      </c>
      <c r="E16" s="34" t="s">
        <v>37</v>
      </c>
      <c r="F16" s="37">
        <f ca="1">ROUND(2*(F14-$C$15)/$C$16,0)/2+F13</f>
        <v>6184</v>
      </c>
    </row>
    <row r="17" spans="1:19" s="4" customFormat="1" ht="12.95" customHeight="1" thickBot="1" x14ac:dyDescent="0.25">
      <c r="A17" s="17" t="s">
        <v>29</v>
      </c>
      <c r="C17" s="4">
        <f>COUNT(C21:C2191)</f>
        <v>2</v>
      </c>
      <c r="E17" s="34" t="s">
        <v>45</v>
      </c>
      <c r="F17" s="38">
        <f ca="1">+$C$15+$C$16*$F$16-15018.5-$C$9/24</f>
        <v>45502.496466815966</v>
      </c>
    </row>
    <row r="18" spans="1:19" s="4" customFormat="1" ht="12.95" customHeight="1" thickTop="1" thickBot="1" x14ac:dyDescent="0.25">
      <c r="A18" s="7" t="s">
        <v>5</v>
      </c>
      <c r="C18" s="21">
        <f ca="1">+C15</f>
        <v>55366.798499999997</v>
      </c>
      <c r="D18" s="22">
        <f ca="1">+C16</f>
        <v>0.83340914189563897</v>
      </c>
      <c r="E18" s="40" t="s">
        <v>46</v>
      </c>
      <c r="F18" s="39">
        <f ca="1">+($C$15+$C$16*$F$16)-($C$16/2)-15018.5-$C$9/24</f>
        <v>45502.079762245019</v>
      </c>
    </row>
    <row r="19" spans="1:19" s="4" customFormat="1" ht="12.95" customHeight="1" thickTop="1" x14ac:dyDescent="0.2">
      <c r="A19" s="23" t="s">
        <v>33</v>
      </c>
      <c r="E19" s="24">
        <v>21</v>
      </c>
      <c r="S19" s="4">
        <f ca="1">SQRT(SUM(S21:S50)/(COUNT(S21:S50)-1))</f>
        <v>0</v>
      </c>
    </row>
    <row r="20" spans="1:19" s="4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5" t="str">
        <f>A21</f>
        <v>VSX</v>
      </c>
      <c r="I20" s="25" t="s">
        <v>43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4" t="s">
        <v>14</v>
      </c>
      <c r="R20" s="27" t="s">
        <v>34</v>
      </c>
    </row>
    <row r="21" spans="1:19" s="4" customFormat="1" ht="12.95" customHeight="1" x14ac:dyDescent="0.2">
      <c r="A21" s="4" t="str">
        <f>D7</f>
        <v>VSX</v>
      </c>
      <c r="C21" s="10">
        <f>C$7</f>
        <v>53880.830000000075</v>
      </c>
      <c r="D21" s="10" t="s">
        <v>13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0</v>
      </c>
      <c r="Q21" s="28">
        <f>+C21-15018.5</f>
        <v>38862.330000000075</v>
      </c>
      <c r="S21" s="4">
        <f ca="1">+(O21-G21)^2</f>
        <v>0</v>
      </c>
    </row>
    <row r="22" spans="1:19" s="4" customFormat="1" ht="12.95" customHeight="1" x14ac:dyDescent="0.2">
      <c r="A22" s="2" t="s">
        <v>41</v>
      </c>
      <c r="B22" s="3" t="s">
        <v>42</v>
      </c>
      <c r="C22" s="2">
        <v>55366.798499999997</v>
      </c>
      <c r="D22" s="2">
        <v>1E-4</v>
      </c>
      <c r="E22" s="4">
        <f>+(C22-C$7)/C$8</f>
        <v>1783.0088612378408</v>
      </c>
      <c r="F22" s="4">
        <f>ROUND(2*E22,0)/2</f>
        <v>1783</v>
      </c>
      <c r="G22" s="4">
        <f>+C22-(C$7+F22*C$8)</f>
        <v>7.3849999243975617E-3</v>
      </c>
      <c r="I22" s="4">
        <f>+G22</f>
        <v>7.3849999243975617E-3</v>
      </c>
      <c r="O22" s="4">
        <f ca="1">+C$11+C$12*$F22</f>
        <v>7.3849999243975617E-3</v>
      </c>
      <c r="Q22" s="28">
        <f>+C22-15018.5</f>
        <v>40348.298499999997</v>
      </c>
      <c r="S22" s="4">
        <f ca="1">+(O22-G22)^2</f>
        <v>0</v>
      </c>
    </row>
    <row r="23" spans="1:19" s="4" customFormat="1" ht="12.95" customHeight="1" x14ac:dyDescent="0.2">
      <c r="C23" s="10"/>
      <c r="D23" s="10"/>
      <c r="Q23" s="28"/>
    </row>
    <row r="24" spans="1:19" s="4" customFormat="1" ht="12.95" customHeight="1" x14ac:dyDescent="0.2">
      <c r="C24" s="10"/>
      <c r="D24" s="10"/>
      <c r="Q24" s="28"/>
    </row>
    <row r="25" spans="1:19" s="4" customFormat="1" ht="12.95" customHeight="1" x14ac:dyDescent="0.2">
      <c r="C25" s="10"/>
      <c r="D25" s="10"/>
      <c r="Q25" s="28"/>
    </row>
    <row r="26" spans="1:19" s="4" customFormat="1" ht="12.95" customHeight="1" x14ac:dyDescent="0.2">
      <c r="C26" s="10"/>
      <c r="D26" s="10"/>
      <c r="Q26" s="28"/>
    </row>
    <row r="27" spans="1:19" s="4" customFormat="1" ht="12.95" customHeight="1" x14ac:dyDescent="0.2">
      <c r="C27" s="10"/>
      <c r="D27" s="10"/>
      <c r="Q27" s="28"/>
    </row>
    <row r="28" spans="1:19" s="4" customFormat="1" ht="12.95" customHeight="1" x14ac:dyDescent="0.2">
      <c r="C28" s="10"/>
      <c r="D28" s="10"/>
      <c r="Q28" s="28"/>
    </row>
    <row r="29" spans="1:19" s="4" customFormat="1" ht="12.95" customHeight="1" x14ac:dyDescent="0.2">
      <c r="C29" s="10"/>
      <c r="D29" s="10"/>
      <c r="Q29" s="28"/>
    </row>
    <row r="30" spans="1:19" s="4" customFormat="1" ht="12.95" customHeight="1" x14ac:dyDescent="0.2">
      <c r="C30" s="10"/>
      <c r="D30" s="10"/>
      <c r="Q30" s="28"/>
    </row>
    <row r="31" spans="1:19" s="4" customFormat="1" ht="12.95" customHeight="1" x14ac:dyDescent="0.2">
      <c r="C31" s="10"/>
      <c r="D31" s="10"/>
      <c r="Q31" s="28"/>
    </row>
    <row r="32" spans="1:19" s="4" customFormat="1" ht="12.95" customHeight="1" x14ac:dyDescent="0.2">
      <c r="C32" s="10"/>
      <c r="D32" s="10"/>
      <c r="Q32" s="28"/>
    </row>
    <row r="33" spans="3:17" s="4" customFormat="1" ht="12.95" customHeight="1" x14ac:dyDescent="0.2">
      <c r="C33" s="10"/>
      <c r="D33" s="10"/>
      <c r="Q33" s="28"/>
    </row>
    <row r="34" spans="3:17" s="4" customFormat="1" ht="12.95" customHeight="1" x14ac:dyDescent="0.2">
      <c r="C34" s="10"/>
      <c r="D34" s="10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2024-07-28T06:04:54Z</dcterms:modified>
</cp:coreProperties>
</file>