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E211EDE-A841-4BBB-B008-AC156E3224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E23" i="1"/>
  <c r="F23" i="1"/>
  <c r="G23" i="1" s="1"/>
  <c r="I23" i="1" s="1"/>
  <c r="Q22" i="1"/>
  <c r="Q23" i="1"/>
  <c r="C21" i="1"/>
  <c r="E21" i="1"/>
  <c r="F21" i="1"/>
  <c r="G21" i="1" s="1"/>
  <c r="H21" i="1" s="1"/>
  <c r="D9" i="1"/>
  <c r="E9" i="1"/>
  <c r="F14" i="1"/>
  <c r="F15" i="1" s="1"/>
  <c r="Q21" i="1"/>
  <c r="C17" i="1"/>
  <c r="C11" i="1"/>
  <c r="C12" i="1"/>
  <c r="O23" i="1" l="1"/>
  <c r="O21" i="1"/>
  <c r="C15" i="1"/>
  <c r="O22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<sst xmlns="http://schemas.openxmlformats.org/spreadsheetml/2006/main" count="55" uniqueCount="50">
  <si>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</si>
  <si>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</si>
  <si>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</si>
  <si>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</si>
  <si>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</si>
  <si>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</si>
  <si>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</si>
  <si>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</si>
  <si>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</si>
  <si>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</si>
  <si>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</si>
  <si>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</si>
  <si>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</si>
  <si>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</si>
  <si>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</si>
  <si>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</si>
  <si>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</si>
  <si>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</si>
  <si>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</si>
  <si>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</si>
  <si>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</si>
  <si>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</si>
  <si>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</si>
  <si>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</si>
  <si>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</si>
  <si>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</si>
  <si>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</si>
  <si>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</si>
  <si>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</si>
  <si>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</si>
  <si>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</si>
  <si>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</si>
  <si>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</si>
  <si>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</si>
  <si>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</si>
  <si>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</si>
  <si>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</si>
  <si>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</si>
  <si>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</si>
  <si>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</si>
  <si>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EC-ESD</t>
  </si>
  <si>
    <t>IBVS 6084</t>
  </si>
  <si>
    <t>IBVS 5945</t>
  </si>
  <si>
    <t>I</t>
  </si>
  <si>
    <t>V0551 Vul / GSC 2171-0397</t>
  </si>
  <si>
    <t>CCD</t>
  </si>
  <si>
    <t>Next ToM-P</t>
  </si>
  <si>
    <t>Next ToM-S</t>
  </si>
  <si>
    <t xml:space="preserve">Mag </t>
  </si>
  <si>
    <t>11.95-12.4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</si>
</sst>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4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22" fontId="21" fillId="0" borderId="8" xfId="0" applyNumberFormat="1" applyFont="1" applyBorder="1" applyAlignment="1">
      <alignment vertical="center"/>
    </xf>
    <xf numFmtId="22" fontId="21" fillId="0" borderId="9" xfId="0" applyNumberFormat="1" applyFont="1" applyBorder="1" applyAlignment="1">
      <alignment vertical="center"/>
    </xf>
    <xf numFmtId="0" fontId="20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V0551 Vul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5.0000000000000001E-4</c:v>
                  </c:pt>
                  <c:pt idx="2">
                    <c:v>3.8999999999999998E-3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5.0000000000000001E-4</c:v>
                  </c:pt>
                  <c:pt idx="2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1857</c:v>
                </c:pt>
                <c:pt idx="2">
                  <c:v>3803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63-4DF4-B66D-C431CEF7DFF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1857</c:v>
                </c:pt>
                <c:pt idx="2">
                  <c:v>3803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1.352999999653548E-3</c:v>
                </c:pt>
                <c:pt idx="2">
                  <c:v>6.1786999998730607E-2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63-4DF4-B66D-C431CEF7DFF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1857</c:v>
                </c:pt>
                <c:pt idx="2">
                  <c:v>3803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63-4DF4-B66D-C431CEF7DFF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1857</c:v>
                </c:pt>
                <c:pt idx="2">
                  <c:v>3803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63-4DF4-B66D-C431CEF7DFF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1857</c:v>
                </c:pt>
                <c:pt idx="2">
                  <c:v>3803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63-4DF4-B66D-C431CEF7DFF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1857</c:v>
                </c:pt>
                <c:pt idx="2">
                  <c:v>3803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63-4DF4-B66D-C431CEF7DFF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  <c:pt idx="2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1857</c:v>
                </c:pt>
                <c:pt idx="2">
                  <c:v>3803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63-4DF4-B66D-C431CEF7DFF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1857</c:v>
                </c:pt>
                <c:pt idx="2">
                  <c:v>3803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-9.8288444916137564E-3</c:v>
                </c:pt>
                <c:pt idx="1">
                  <c:v>2.0561168345803137E-2</c:v>
                </c:pt>
                <c:pt idx="2">
                  <c:v>5.2407676144194767E-2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663-4DF4-B66D-C431CEF7DFF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1857</c:v>
                </c:pt>
                <c:pt idx="2">
                  <c:v>3803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663-4DF4-B66D-C431CEF7D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795320"/>
        <c:axId val="1"/>
      </c:scatterChart>
      <c:valAx>
        <c:axId val="649795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9795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238125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F61D71D-0C71-E089-8167-1A0CDBDC3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285156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5" customFormat="1" ht="20.25" x14ac:dyDescent="0.2">
      <c r="A1" s="37" t="s">
        <v>44</v>
      </c>
    </row>
    <row r="2" spans="1:6" s="5" customFormat="1" ht="12.95" customHeight="1" x14ac:dyDescent="0.2">
      <c r="A2" s="5" t="s">
        <v>24</v>
      </c>
      <c r="B2" s="5" t="s">
        <v>40</v>
      </c>
      <c r="C2" s="6"/>
    </row>
    <row r="3" spans="1:6" s="5" customFormat="1" ht="12.95" customHeight="1" thickBot="1" x14ac:dyDescent="0.25"/>
    <row r="4" spans="1:6" s="5" customFormat="1" ht="12.95" customHeight="1" thickTop="1" thickBot="1" x14ac:dyDescent="0.25">
      <c r="A4" s="7" t="s">
        <v>0</v>
      </c>
      <c r="C4" s="8" t="s">
        <v>38</v>
      </c>
      <c r="D4" s="9" t="s">
        <v>38</v>
      </c>
    </row>
    <row r="5" spans="1:6" s="5" customFormat="1" ht="12.95" customHeight="1" thickTop="1" x14ac:dyDescent="0.2">
      <c r="A5" s="10" t="s">
        <v>30</v>
      </c>
      <c r="C5" s="11">
        <v>-9.5</v>
      </c>
      <c r="D5" s="5" t="s">
        <v>31</v>
      </c>
    </row>
    <row r="6" spans="1:6" s="5" customFormat="1" ht="12.95" customHeight="1" x14ac:dyDescent="0.2">
      <c r="A6" s="7" t="s">
        <v>1</v>
      </c>
    </row>
    <row r="7" spans="1:6" s="5" customFormat="1" ht="12.95" customHeight="1" x14ac:dyDescent="0.2">
      <c r="A7" s="5" t="s">
        <v>2</v>
      </c>
      <c r="C7" s="38">
        <v>54602.892</v>
      </c>
      <c r="D7" s="13" t="s">
        <v>39</v>
      </c>
    </row>
    <row r="8" spans="1:6" s="5" customFormat="1" ht="12.95" customHeight="1" x14ac:dyDescent="0.2">
      <c r="A8" s="5" t="s">
        <v>3</v>
      </c>
      <c r="C8" s="38">
        <v>0.41137099999999999</v>
      </c>
      <c r="D8" s="13" t="s">
        <v>39</v>
      </c>
    </row>
    <row r="9" spans="1:6" s="5" customFormat="1" ht="12.95" customHeight="1" x14ac:dyDescent="0.2">
      <c r="A9" s="14" t="s">
        <v>33</v>
      </c>
      <c r="C9" s="39">
        <v>21</v>
      </c>
      <c r="D9" s="15" t="str">
        <f>"F"&amp;C9</f>
        <v>F21</v>
      </c>
      <c r="E9" s="16" t="str">
        <f>"G"&amp;C9</f>
        <v>G21</v>
      </c>
    </row>
    <row r="10" spans="1:6" s="5" customFormat="1" ht="12.95" customHeight="1" thickBot="1" x14ac:dyDescent="0.25">
      <c r="C10" s="17" t="s">
        <v>20</v>
      </c>
      <c r="D10" s="17" t="s">
        <v>21</v>
      </c>
    </row>
    <row r="11" spans="1:6" s="5" customFormat="1" ht="12.95" customHeight="1" x14ac:dyDescent="0.2">
      <c r="A11" s="5" t="s">
        <v>15</v>
      </c>
      <c r="C11" s="16">
        <f ca="1">INTERCEPT(INDIRECT($E$9):G992,INDIRECT($D$9):F992)</f>
        <v>-9.8288444916137564E-3</v>
      </c>
      <c r="D11" s="6"/>
    </row>
    <row r="12" spans="1:6" s="5" customFormat="1" ht="12.95" customHeight="1" x14ac:dyDescent="0.2">
      <c r="A12" s="5" t="s">
        <v>16</v>
      </c>
      <c r="C12" s="16">
        <f ca="1">SLOPE(INDIRECT($E$9):G992,INDIRECT($D$9):F992)</f>
        <v>1.6365111921064562E-5</v>
      </c>
      <c r="D12" s="6"/>
      <c r="E12" s="40" t="s">
        <v>48</v>
      </c>
      <c r="F12" s="41" t="s">
        <v>49</v>
      </c>
    </row>
    <row r="13" spans="1:6" s="5" customFormat="1" ht="12.95" customHeight="1" x14ac:dyDescent="0.2">
      <c r="A13" s="5" t="s">
        <v>19</v>
      </c>
      <c r="C13" s="6" t="s">
        <v>13</v>
      </c>
      <c r="E13" s="42" t="s">
        <v>35</v>
      </c>
      <c r="F13" s="43">
        <v>1</v>
      </c>
    </row>
    <row r="14" spans="1:6" s="5" customFormat="1" ht="12.95" customHeight="1" x14ac:dyDescent="0.2">
      <c r="E14" s="42" t="s">
        <v>32</v>
      </c>
      <c r="F14" s="44">
        <f ca="1">NOW()+15018.5+$C$5/24</f>
        <v>60519.752882175926</v>
      </c>
    </row>
    <row r="15" spans="1:6" s="5" customFormat="1" ht="12.95" customHeight="1" x14ac:dyDescent="0.2">
      <c r="A15" s="18" t="s">
        <v>17</v>
      </c>
      <c r="C15" s="19">
        <f ca="1">(C7+C11)+(C8+C12)*INT(MAX(F21:F3533))</f>
        <v>56167.388320676146</v>
      </c>
      <c r="E15" s="42" t="s">
        <v>36</v>
      </c>
      <c r="F15" s="44">
        <f ca="1">ROUND(2*(F14-$C$7)/$C$8,0)/2+F13</f>
        <v>14384.5</v>
      </c>
    </row>
    <row r="16" spans="1:6" s="5" customFormat="1" ht="12.95" customHeight="1" x14ac:dyDescent="0.2">
      <c r="A16" s="7" t="s">
        <v>4</v>
      </c>
      <c r="C16" s="21">
        <f ca="1">+C8+C12</f>
        <v>0.41138736511192103</v>
      </c>
      <c r="E16" s="42" t="s">
        <v>37</v>
      </c>
      <c r="F16" s="45">
        <f ca="1">ROUND(2*(F14-$C$15)/$C$16,0)/2+F13</f>
        <v>10580.5</v>
      </c>
    </row>
    <row r="17" spans="1:18" s="5" customFormat="1" ht="12.95" customHeight="1" thickBot="1" x14ac:dyDescent="0.25">
      <c r="A17" s="20" t="s">
        <v>29</v>
      </c>
      <c r="C17" s="5">
        <f>COUNT(C21:C2191)</f>
        <v>3</v>
      </c>
      <c r="E17" s="42" t="s">
        <v>46</v>
      </c>
      <c r="F17" s="46">
        <f ca="1">+$C$15+$C$16*$F$16-15018.5-$C$5/24</f>
        <v>45501.968170576161</v>
      </c>
    </row>
    <row r="18" spans="1:18" s="5" customFormat="1" ht="12.95" customHeight="1" thickTop="1" thickBot="1" x14ac:dyDescent="0.25">
      <c r="A18" s="7" t="s">
        <v>5</v>
      </c>
      <c r="C18" s="22">
        <f ca="1">+C15</f>
        <v>56167.388320676146</v>
      </c>
      <c r="D18" s="23">
        <f ca="1">+C16</f>
        <v>0.41138736511192103</v>
      </c>
      <c r="E18" s="48" t="s">
        <v>47</v>
      </c>
      <c r="F18" s="47">
        <f ca="1">+($C$15+$C$16*$F$16)-($C$16/2)-15018.5-$C$5/24</f>
        <v>45501.762476893608</v>
      </c>
    </row>
    <row r="19" spans="1:18" s="5" customFormat="1" ht="12.95" customHeight="1" thickTop="1" x14ac:dyDescent="0.2"/>
    <row r="20" spans="1:18" s="5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24" t="s">
        <v>39</v>
      </c>
      <c r="I20" s="24" t="s">
        <v>45</v>
      </c>
      <c r="J20" s="24" t="s">
        <v>18</v>
      </c>
      <c r="K20" s="24" t="s">
        <v>25</v>
      </c>
      <c r="L20" s="24" t="s">
        <v>26</v>
      </c>
      <c r="M20" s="24" t="s">
        <v>27</v>
      </c>
      <c r="N20" s="24" t="s">
        <v>28</v>
      </c>
      <c r="O20" s="24" t="s">
        <v>23</v>
      </c>
      <c r="P20" s="25" t="s">
        <v>22</v>
      </c>
      <c r="Q20" s="17" t="s">
        <v>14</v>
      </c>
      <c r="R20" s="26" t="s">
        <v>34</v>
      </c>
    </row>
    <row r="21" spans="1:18" s="5" customFormat="1" ht="12.95" customHeight="1" x14ac:dyDescent="0.2">
      <c r="A21" s="5" t="s">
        <v>39</v>
      </c>
      <c r="C21" s="12">
        <f>C7</f>
        <v>54602.892</v>
      </c>
      <c r="D21" s="12"/>
      <c r="E21" s="5">
        <f>+(C21-C$7)/C$8</f>
        <v>0</v>
      </c>
      <c r="F21" s="27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-9.8288444916137564E-3</v>
      </c>
      <c r="Q21" s="28">
        <f>+C21-15018.5</f>
        <v>39584.392</v>
      </c>
    </row>
    <row r="22" spans="1:18" s="5" customFormat="1" ht="12.95" customHeight="1" x14ac:dyDescent="0.2">
      <c r="A22" s="3" t="s">
        <v>42</v>
      </c>
      <c r="B22" s="4" t="s">
        <v>43</v>
      </c>
      <c r="C22" s="3">
        <v>55366.809300000001</v>
      </c>
      <c r="D22" s="3">
        <v>5.0000000000000001E-4</v>
      </c>
      <c r="E22" s="5">
        <f>+(C22-C$7)/C$8</f>
        <v>1857.0032890019011</v>
      </c>
      <c r="F22" s="27">
        <f>ROUND(2*E22,0)/2</f>
        <v>1857</v>
      </c>
      <c r="G22" s="5">
        <f>+C22-(C$7+F22*C$8)</f>
        <v>1.352999999653548E-3</v>
      </c>
      <c r="I22" s="5">
        <f>+G22</f>
        <v>1.352999999653548E-3</v>
      </c>
      <c r="O22" s="5">
        <f ca="1">+C$11+C$12*$F22</f>
        <v>2.0561168345803137E-2</v>
      </c>
      <c r="Q22" s="28">
        <f>+C22-15018.5</f>
        <v>40348.309300000001</v>
      </c>
    </row>
    <row r="23" spans="1:18" s="5" customFormat="1" ht="12.95" customHeight="1" x14ac:dyDescent="0.2">
      <c r="A23" s="29" t="s">
        <v>41</v>
      </c>
      <c r="B23" s="30" t="s">
        <v>43</v>
      </c>
      <c r="C23" s="29">
        <v>56167.397700000001</v>
      </c>
      <c r="D23" s="29">
        <v>3.8999999999999998E-3</v>
      </c>
      <c r="E23" s="5">
        <f>+(C23-C$7)/C$8</f>
        <v>3803.1501977533699</v>
      </c>
      <c r="F23" s="27">
        <f>ROUND(2*E23,0)/2</f>
        <v>3803</v>
      </c>
      <c r="G23" s="5">
        <f>+C23-(C$7+F23*C$8)</f>
        <v>6.1786999998730607E-2</v>
      </c>
      <c r="I23" s="5">
        <f>+G23</f>
        <v>6.1786999998730607E-2</v>
      </c>
      <c r="O23" s="5">
        <f ca="1">+C$11+C$12*$F23</f>
        <v>5.2407676144194767E-2</v>
      </c>
      <c r="Q23" s="28">
        <f>+C23-15018.5</f>
        <v>41148.897700000001</v>
      </c>
    </row>
    <row r="24" spans="1:18" s="5" customFormat="1" ht="12.95" customHeight="1" x14ac:dyDescent="0.2">
      <c r="A24" s="31"/>
      <c r="B24" s="32"/>
      <c r="C24" s="31"/>
      <c r="D24" s="31"/>
      <c r="Q24" s="28"/>
    </row>
    <row r="25" spans="1:18" s="5" customFormat="1" ht="12.95" customHeight="1" x14ac:dyDescent="0.2">
      <c r="A25" s="33"/>
      <c r="B25" s="34"/>
      <c r="C25" s="35"/>
      <c r="D25" s="36"/>
      <c r="Q25" s="28"/>
    </row>
    <row r="26" spans="1:18" s="5" customFormat="1" ht="12.95" customHeight="1" x14ac:dyDescent="0.2">
      <c r="C26" s="12"/>
      <c r="D26" s="12"/>
      <c r="Q26" s="28"/>
    </row>
    <row r="27" spans="1:18" s="5" customFormat="1" ht="12.95" customHeight="1" x14ac:dyDescent="0.2">
      <c r="C27" s="12"/>
      <c r="D27" s="12"/>
      <c r="Q27" s="28"/>
    </row>
    <row r="28" spans="1:18" s="5" customFormat="1" ht="12.95" customHeight="1" x14ac:dyDescent="0.2">
      <c r="C28" s="12"/>
      <c r="D28" s="12"/>
      <c r="Q28" s="28"/>
    </row>
    <row r="29" spans="1:18" s="5" customFormat="1" ht="12.95" customHeight="1" x14ac:dyDescent="0.2">
      <c r="C29" s="12"/>
      <c r="D29" s="12"/>
      <c r="Q29" s="28"/>
    </row>
    <row r="30" spans="1:18" s="5" customFormat="1" ht="12.95" customHeight="1" x14ac:dyDescent="0.2">
      <c r="C30" s="12"/>
      <c r="D30" s="12"/>
      <c r="Q30" s="28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2024-07-28T06:04:09Z</dcterms:modified>
</cp:coreProperties>
</file>