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5523F73-8FB8-436E-879A-42DEB63D1C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E23" i="1"/>
  <c r="F23" i="1"/>
  <c r="G23" i="1" s="1"/>
  <c r="I23" i="1" s="1"/>
  <c r="E24" i="1"/>
  <c r="F24" i="1" s="1"/>
  <c r="G24" i="1" s="1"/>
  <c r="I24" i="1" s="1"/>
  <c r="Q22" i="1"/>
  <c r="Q23" i="1"/>
  <c r="Q24" i="1"/>
  <c r="F11" i="1"/>
  <c r="C21" i="1"/>
  <c r="E21" i="1" s="1"/>
  <c r="F21" i="1" s="1"/>
  <c r="G21" i="1" s="1"/>
  <c r="H21" i="1" s="1"/>
  <c r="C17" i="1"/>
  <c r="A21" i="1"/>
  <c r="H20" i="1" s="1"/>
  <c r="G11" i="1"/>
  <c r="F14" i="1"/>
  <c r="F15" i="1" s="1"/>
  <c r="Q21" i="1"/>
  <c r="C12" i="1"/>
  <c r="C16" i="1" l="1"/>
  <c r="D18" i="1" s="1"/>
  <c r="C11" i="1"/>
  <c r="O24" i="1" l="1"/>
  <c r="S24" i="1" s="1"/>
  <c r="C15" i="1"/>
  <c r="O23" i="1"/>
  <c r="S23" i="1" s="1"/>
  <c r="O21" i="1"/>
  <c r="S21" i="1" s="1"/>
  <c r="O22" i="1"/>
  <c r="S22" i="1" s="1"/>
  <c r="F16" i="1" l="1"/>
  <c r="F18" i="1" s="1"/>
  <c r="S19" i="1"/>
  <c r="C18" i="1"/>
  <c r="F17" i="1" l="1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<sst xmlns="http://schemas.openxmlformats.org/spreadsheetml/2006/main" count="57" uniqueCount="51">
  <si>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</si>
  <si>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</si>
  <si>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</si>
  <si>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</si>
  <si>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</si>
  <si>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</si>
  <si>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</si>
  <si>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</si>
  <si>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</si>
  <si>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</si>
  <si>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</si>
  <si>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</si>
  <si>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</si>
  <si>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</si>
  <si>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</si>
  <si>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</si>
  <si>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</si>
  <si>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</si>
  <si>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</si>
  <si>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</si>
  <si>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</si>
  <si>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</si>
  <si>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</si>
  <si>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</si>
  <si>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</si>
  <si>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</si>
  <si>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</si>
  <si>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</si>
  <si>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</si>
  <si>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</si>
  <si>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</si>
  <si>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</si>
  <si>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</si>
  <si>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</si>
  <si>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</si>
  <si>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</si>
  <si>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</si>
  <si>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</si>
  <si>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</si>
  <si>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G2157-0014_Vul.xls</t>
  </si>
  <si>
    <t>EC</t>
  </si>
  <si>
    <t>VSX</t>
  </si>
  <si>
    <t>IBVS 5918</t>
  </si>
  <si>
    <t>I</t>
  </si>
  <si>
    <t>IBVS 6010</t>
  </si>
  <si>
    <t>V0584 Vul / GSC 2157-0014</t>
  </si>
  <si>
    <t>CCD</t>
  </si>
  <si>
    <t>Next ToM-P</t>
  </si>
  <si>
    <t>Next ToM-S</t>
  </si>
  <si>
    <t xml:space="preserve">Mag </t>
  </si>
  <si>
    <t>12.18-12.58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</si>
</sst>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6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22" fontId="18" fillId="0" borderId="8" xfId="0" applyNumberFormat="1" applyFont="1" applyBorder="1" applyAlignment="1">
      <alignment vertical="center"/>
    </xf>
    <xf numFmtId="22" fontId="18" fillId="0" borderId="9" xfId="0" applyNumberFormat="1" applyFont="1" applyBorder="1" applyAlignment="1">
      <alignment vertical="center"/>
    </xf>
    <xf numFmtId="0" fontId="17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V0584 Vul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5523</c:v>
                </c:pt>
                <c:pt idx="2">
                  <c:v>7682</c:v>
                </c:pt>
                <c:pt idx="3">
                  <c:v>7696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8F-43CA-9E30-B210255EE60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5523</c:v>
                </c:pt>
                <c:pt idx="2">
                  <c:v>7682</c:v>
                </c:pt>
                <c:pt idx="3">
                  <c:v>7696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2.7009999990696087E-2</c:v>
                </c:pt>
                <c:pt idx="2">
                  <c:v>5.4139999992912635E-2</c:v>
                </c:pt>
                <c:pt idx="3">
                  <c:v>5.4119999993417878E-2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8F-43CA-9E30-B210255EE60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5523</c:v>
                </c:pt>
                <c:pt idx="2">
                  <c:v>7682</c:v>
                </c:pt>
                <c:pt idx="3">
                  <c:v>7696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8F-43CA-9E30-B210255EE60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5523</c:v>
                </c:pt>
                <c:pt idx="2">
                  <c:v>7682</c:v>
                </c:pt>
                <c:pt idx="3">
                  <c:v>7696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8F-43CA-9E30-B210255EE60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5523</c:v>
                </c:pt>
                <c:pt idx="2">
                  <c:v>7682</c:v>
                </c:pt>
                <c:pt idx="3">
                  <c:v>7696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8F-43CA-9E30-B210255EE60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5523</c:v>
                </c:pt>
                <c:pt idx="2">
                  <c:v>7682</c:v>
                </c:pt>
                <c:pt idx="3">
                  <c:v>7696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8F-43CA-9E30-B210255EE60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5523</c:v>
                </c:pt>
                <c:pt idx="2">
                  <c:v>7682</c:v>
                </c:pt>
                <c:pt idx="3">
                  <c:v>7696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8F-43CA-9E30-B210255EE60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5523</c:v>
                </c:pt>
                <c:pt idx="2">
                  <c:v>7682</c:v>
                </c:pt>
                <c:pt idx="3">
                  <c:v>7696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-2.5005566565190276E-3</c:v>
                </c:pt>
                <c:pt idx="1">
                  <c:v>3.5887008891968421E-2</c:v>
                </c:pt>
                <c:pt idx="2">
                  <c:v>5.0893120429028792E-2</c:v>
                </c:pt>
                <c:pt idx="3">
                  <c:v>5.0990427312548402E-2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8F-43CA-9E30-B210255EE60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5523</c:v>
                </c:pt>
                <c:pt idx="2">
                  <c:v>7682</c:v>
                </c:pt>
                <c:pt idx="3">
                  <c:v>7696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8F-43CA-9E30-B210255EE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948128"/>
        <c:axId val="1"/>
      </c:scatterChart>
      <c:valAx>
        <c:axId val="514948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948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238125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7EC2F85-FD95-AE25-3B46-FBE8D40C6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0" t="s">
        <v>45</v>
      </c>
      <c r="E1" s="5" t="s">
        <v>39</v>
      </c>
    </row>
    <row r="2" spans="1:7" s="5" customFormat="1" ht="12.95" customHeight="1" x14ac:dyDescent="0.2">
      <c r="A2" s="5" t="s">
        <v>24</v>
      </c>
      <c r="B2" s="5" t="s">
        <v>40</v>
      </c>
      <c r="C2" s="6"/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 t="s">
        <v>38</v>
      </c>
      <c r="D4" s="10" t="s">
        <v>38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31">
        <v>52755.23</v>
      </c>
      <c r="D7" s="12" t="s">
        <v>41</v>
      </c>
    </row>
    <row r="8" spans="1:7" s="5" customFormat="1" ht="12.95" customHeight="1" x14ac:dyDescent="0.2">
      <c r="A8" s="5" t="s">
        <v>3</v>
      </c>
      <c r="C8" s="31">
        <v>0.35382999999999998</v>
      </c>
      <c r="D8" s="12" t="s">
        <v>41</v>
      </c>
    </row>
    <row r="9" spans="1:7" s="5" customFormat="1" ht="12.95" customHeight="1" x14ac:dyDescent="0.2">
      <c r="A9" s="13" t="s">
        <v>30</v>
      </c>
      <c r="C9" s="14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INTERCEPT(INDIRECT($G$11):G992,INDIRECT($F$11):F992)</f>
        <v>-2.5005566565190276E-3</v>
      </c>
      <c r="D11" s="7"/>
      <c r="F11" s="17" t="str">
        <f>"F"&amp;E19</f>
        <v>F21</v>
      </c>
      <c r="G11" s="16" t="str">
        <f>"G"&amp;E19</f>
        <v>G21</v>
      </c>
    </row>
    <row r="12" spans="1:7" s="5" customFormat="1" ht="12.95" customHeight="1" x14ac:dyDescent="0.2">
      <c r="A12" s="5" t="s">
        <v>16</v>
      </c>
      <c r="C12" s="16">
        <f ca="1">SLOPE(INDIRECT($G$11):G992,INDIRECT($F$11):F992)</f>
        <v>6.9504916799723792E-6</v>
      </c>
      <c r="D12" s="7"/>
      <c r="E12" s="32" t="s">
        <v>49</v>
      </c>
      <c r="F12" s="33" t="s">
        <v>50</v>
      </c>
    </row>
    <row r="13" spans="1:7" s="5" customFormat="1" ht="12.95" customHeight="1" x14ac:dyDescent="0.2">
      <c r="A13" s="5" t="s">
        <v>19</v>
      </c>
      <c r="C13" s="7" t="s">
        <v>13</v>
      </c>
      <c r="E13" s="34" t="s">
        <v>35</v>
      </c>
      <c r="F13" s="35">
        <v>1</v>
      </c>
    </row>
    <row r="14" spans="1:7" s="5" customFormat="1" ht="12.95" customHeight="1" x14ac:dyDescent="0.2">
      <c r="E14" s="34" t="s">
        <v>32</v>
      </c>
      <c r="F14" s="36">
        <f ca="1">NOW()+15018.5+$C$9/24</f>
        <v>60519.755211342592</v>
      </c>
    </row>
    <row r="15" spans="1:7" s="5" customFormat="1" ht="12.95" customHeight="1" x14ac:dyDescent="0.2">
      <c r="A15" s="19" t="s">
        <v>17</v>
      </c>
      <c r="C15" s="20">
        <f ca="1">(C7+C11)+(C8+C12)*INT(MAX(F21:F3533))</f>
        <v>55478.356670427318</v>
      </c>
      <c r="E15" s="34" t="s">
        <v>36</v>
      </c>
      <c r="F15" s="36">
        <f ca="1">ROUND(2*(F14-$C$7)/$C$8,0)/2+F13</f>
        <v>21945</v>
      </c>
    </row>
    <row r="16" spans="1:7" s="5" customFormat="1" ht="12.95" customHeight="1" x14ac:dyDescent="0.2">
      <c r="A16" s="8" t="s">
        <v>4</v>
      </c>
      <c r="C16" s="21">
        <f ca="1">+C8+C12</f>
        <v>0.35383695049167996</v>
      </c>
      <c r="E16" s="34" t="s">
        <v>37</v>
      </c>
      <c r="F16" s="37">
        <f ca="1">ROUND(2*(F14-$C$15)/$C$16,0)/2+F13</f>
        <v>14249</v>
      </c>
    </row>
    <row r="17" spans="1:19" s="5" customFormat="1" ht="12.95" customHeight="1" thickBot="1" x14ac:dyDescent="0.25">
      <c r="A17" s="18" t="s">
        <v>29</v>
      </c>
      <c r="C17" s="5">
        <f>COUNT(C21:C2191)</f>
        <v>4</v>
      </c>
      <c r="E17" s="34" t="s">
        <v>47</v>
      </c>
      <c r="F17" s="38">
        <f ca="1">+$C$15+$C$16*$F$16-15018.5-$C$9/24</f>
        <v>45502.075211316602</v>
      </c>
    </row>
    <row r="18" spans="1:19" s="5" customFormat="1" ht="12.95" customHeight="1" thickTop="1" thickBot="1" x14ac:dyDescent="0.25">
      <c r="A18" s="8" t="s">
        <v>5</v>
      </c>
      <c r="C18" s="22">
        <f ca="1">+C15</f>
        <v>55478.356670427318</v>
      </c>
      <c r="D18" s="23">
        <f ca="1">+C16</f>
        <v>0.35383695049167996</v>
      </c>
      <c r="E18" s="40" t="s">
        <v>48</v>
      </c>
      <c r="F18" s="39">
        <f ca="1">+($C$15+$C$16*$F$16)-($C$16/2)-15018.5-$C$9/24</f>
        <v>45501.898292841353</v>
      </c>
    </row>
    <row r="19" spans="1:19" s="5" customFormat="1" ht="12.95" customHeight="1" thickTop="1" x14ac:dyDescent="0.2">
      <c r="A19" s="24" t="s">
        <v>33</v>
      </c>
      <c r="E19" s="25">
        <v>21</v>
      </c>
      <c r="S19" s="5">
        <f ca="1">SQRT(SUM(S21:S50)/(COUNT(S21:S50)-1))</f>
        <v>5.9270713030113208E-3</v>
      </c>
    </row>
    <row r="20" spans="1:19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6" t="str">
        <f>A21</f>
        <v>VSX</v>
      </c>
      <c r="I20" s="26" t="s">
        <v>46</v>
      </c>
      <c r="J20" s="26" t="s">
        <v>18</v>
      </c>
      <c r="K20" s="26" t="s">
        <v>25</v>
      </c>
      <c r="L20" s="26" t="s">
        <v>26</v>
      </c>
      <c r="M20" s="26" t="s">
        <v>27</v>
      </c>
      <c r="N20" s="26" t="s">
        <v>28</v>
      </c>
      <c r="O20" s="26" t="s">
        <v>23</v>
      </c>
      <c r="P20" s="27" t="s">
        <v>22</v>
      </c>
      <c r="Q20" s="15" t="s">
        <v>14</v>
      </c>
      <c r="R20" s="28" t="s">
        <v>34</v>
      </c>
    </row>
    <row r="21" spans="1:19" s="5" customFormat="1" ht="12.95" customHeight="1" x14ac:dyDescent="0.2">
      <c r="A21" s="5" t="str">
        <f>D7</f>
        <v>VSX</v>
      </c>
      <c r="C21" s="11">
        <f>C$7</f>
        <v>52755.23</v>
      </c>
      <c r="D21" s="11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-2.5005566565190276E-3</v>
      </c>
      <c r="Q21" s="29">
        <f>+C21-15018.5</f>
        <v>37736.730000000003</v>
      </c>
      <c r="S21" s="5">
        <f ca="1">+(O21-G21)^2</f>
        <v>6.252783592461618E-6</v>
      </c>
    </row>
    <row r="22" spans="1:19" s="5" customFormat="1" ht="12.95" customHeight="1" x14ac:dyDescent="0.2">
      <c r="A22" s="3" t="s">
        <v>42</v>
      </c>
      <c r="B22" s="4" t="s">
        <v>43</v>
      </c>
      <c r="C22" s="3">
        <v>54709.460099999997</v>
      </c>
      <c r="D22" s="3">
        <v>2.9999999999999997E-4</v>
      </c>
      <c r="E22" s="5">
        <f>+(C22-C$7)/C$8</f>
        <v>5523.0763360935862</v>
      </c>
      <c r="F22" s="5">
        <f>ROUND(2*E22,0)/2</f>
        <v>5523</v>
      </c>
      <c r="G22" s="5">
        <f>+C22-(C$7+F22*C$8)</f>
        <v>2.7009999990696087E-2</v>
      </c>
      <c r="I22" s="5">
        <f>+G22</f>
        <v>2.7009999990696087E-2</v>
      </c>
      <c r="O22" s="5">
        <f ca="1">+C$11+C$12*$F22</f>
        <v>3.5887008891968421E-2</v>
      </c>
      <c r="Q22" s="29">
        <f>+C22-15018.5</f>
        <v>39690.960099999997</v>
      </c>
      <c r="S22" s="5">
        <f ca="1">+(O22-G22)^2</f>
        <v>7.8801287033268241E-5</v>
      </c>
    </row>
    <row r="23" spans="1:19" s="5" customFormat="1" ht="12.95" customHeight="1" x14ac:dyDescent="0.2">
      <c r="A23" s="3" t="s">
        <v>44</v>
      </c>
      <c r="B23" s="4" t="s">
        <v>43</v>
      </c>
      <c r="C23" s="3">
        <v>55473.406199999998</v>
      </c>
      <c r="D23" s="3">
        <v>4.0000000000000002E-4</v>
      </c>
      <c r="E23" s="5">
        <f>+(C23-C$7)/C$8</f>
        <v>7682.153011333111</v>
      </c>
      <c r="F23" s="5">
        <f>ROUND(2*E23,0)/2</f>
        <v>7682</v>
      </c>
      <c r="G23" s="5">
        <f>+C23-(C$7+F23*C$8)</f>
        <v>5.4139999992912635E-2</v>
      </c>
      <c r="I23" s="5">
        <f>+G23</f>
        <v>5.4139999992912635E-2</v>
      </c>
      <c r="O23" s="5">
        <f ca="1">+C$11+C$12*$F23</f>
        <v>5.0893120429028792E-2</v>
      </c>
      <c r="Q23" s="29">
        <f>+C23-15018.5</f>
        <v>40454.906199999998</v>
      </c>
      <c r="S23" s="5">
        <f ca="1">+(O23-G23)^2</f>
        <v>1.0542226902366538E-5</v>
      </c>
    </row>
    <row r="24" spans="1:19" s="5" customFormat="1" ht="12.95" customHeight="1" x14ac:dyDescent="0.2">
      <c r="A24" s="3" t="s">
        <v>44</v>
      </c>
      <c r="B24" s="4" t="s">
        <v>43</v>
      </c>
      <c r="C24" s="3">
        <v>55478.359799999998</v>
      </c>
      <c r="D24" s="3">
        <v>5.0000000000000001E-4</v>
      </c>
      <c r="E24" s="5">
        <f>+(C24-C$7)/C$8</f>
        <v>7696.1529548087929</v>
      </c>
      <c r="F24" s="5">
        <f>ROUND(2*E24,0)/2</f>
        <v>7696</v>
      </c>
      <c r="G24" s="5">
        <f>+C24-(C$7+F24*C$8)</f>
        <v>5.4119999993417878E-2</v>
      </c>
      <c r="I24" s="5">
        <f>+G24</f>
        <v>5.4119999993417878E-2</v>
      </c>
      <c r="O24" s="5">
        <f ca="1">+C$11+C$12*$F24</f>
        <v>5.0990427312548402E-2</v>
      </c>
      <c r="Q24" s="29">
        <f>+C24-15018.5</f>
        <v>40459.859799999998</v>
      </c>
      <c r="S24" s="5">
        <f ca="1">+(O24-G24)^2</f>
        <v>9.7942251648445583E-6</v>
      </c>
    </row>
    <row r="25" spans="1:19" s="5" customFormat="1" ht="12.95" customHeight="1" x14ac:dyDescent="0.2">
      <c r="C25" s="11"/>
      <c r="D25" s="11"/>
      <c r="Q25" s="29"/>
    </row>
    <row r="26" spans="1:19" s="5" customFormat="1" ht="12.95" customHeight="1" x14ac:dyDescent="0.2">
      <c r="C26" s="11"/>
      <c r="D26" s="11"/>
      <c r="Q26" s="29"/>
    </row>
    <row r="27" spans="1:19" s="5" customFormat="1" ht="12.95" customHeight="1" x14ac:dyDescent="0.2">
      <c r="C27" s="11"/>
      <c r="D27" s="11"/>
      <c r="Q27" s="29"/>
    </row>
    <row r="28" spans="1:19" s="5" customFormat="1" ht="12.95" customHeight="1" x14ac:dyDescent="0.2">
      <c r="C28" s="11"/>
      <c r="D28" s="11"/>
      <c r="Q28" s="29"/>
    </row>
    <row r="29" spans="1:19" s="5" customFormat="1" ht="12.95" customHeight="1" x14ac:dyDescent="0.2">
      <c r="C29" s="11"/>
      <c r="D29" s="11"/>
      <c r="Q29" s="29"/>
    </row>
    <row r="30" spans="1:19" s="5" customFormat="1" ht="12.95" customHeight="1" x14ac:dyDescent="0.2">
      <c r="C30" s="11"/>
      <c r="D30" s="11"/>
      <c r="Q30" s="29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2024-07-28T06:07:30Z</dcterms:modified>
</cp:coreProperties>
</file>