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634DA12-EA17-4854-8B92-27404F2119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F14" i="1"/>
  <c r="F15" i="1" s="1"/>
  <c r="C17" i="1"/>
  <c r="Q21" i="1"/>
  <c r="C12" i="1"/>
  <c r="C16" i="1" l="1"/>
  <c r="D18" i="1" s="1"/>
  <c r="C11" i="1"/>
  <c r="O21" i="1" l="1"/>
  <c r="S21" i="1" s="1"/>
  <c r="C15" i="1"/>
  <c r="O22" i="1"/>
  <c r="S22" i="1" s="1"/>
  <c r="C18" i="1" l="1"/>
  <c r="F16" i="1"/>
  <c r="F17" i="1" s="1"/>
  <c r="S19" i="1"/>
  <c r="F18" i="1" l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<sst xmlns="http://schemas.openxmlformats.org/spreadsheetml/2006/main" count="54" uniqueCount="51">
  <si>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</si>
  <si>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</si>
  <si>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</si>
  <si>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</si>
  <si>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</si>
  <si>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</si>
  <si>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</si>
  <si>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</si>
  <si>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</si>
  <si>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</si>
  <si>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</si>
  <si>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</si>
  <si>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</si>
  <si>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</si>
  <si>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</si>
  <si>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</si>
  <si>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</si>
  <si>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</si>
  <si>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</si>
  <si>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</si>
  <si>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</si>
  <si>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</si>
  <si>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</si>
  <si>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</si>
  <si>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</si>
  <si>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</si>
  <si>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</si>
  <si>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</si>
  <si>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</si>
  <si>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</si>
  <si>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</si>
  <si>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</si>
  <si>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</si>
  <si>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</si>
  <si>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</si>
  <si>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</si>
  <si>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</si>
  <si>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</si>
  <si>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</si>
  <si>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</si>
  <si>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G2190-1358_Vul.xls</t>
  </si>
  <si>
    <t>EW</t>
  </si>
  <si>
    <t>VSX</t>
  </si>
  <si>
    <t>IBVS 6011</t>
  </si>
  <si>
    <t>I</t>
  </si>
  <si>
    <t>V0599 Vul / GSC 2190-1358</t>
  </si>
  <si>
    <t>CCD</t>
  </si>
  <si>
    <t>Next ToM-P</t>
  </si>
  <si>
    <t>Next Tom-S</t>
  </si>
  <si>
    <t xml:space="preserve">Mag </t>
  </si>
  <si>
    <t>12.0-12.63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</si>
</sst>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16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22" fontId="18" fillId="0" borderId="8" xfId="0" applyNumberFormat="1" applyFont="1" applyBorder="1" applyAlignment="1">
      <alignment vertical="center"/>
    </xf>
    <xf numFmtId="22" fontId="18" fillId="0" borderId="9" xfId="0" applyNumberFormat="1" applyFont="1" applyBorder="1" applyAlignment="1">
      <alignment vertical="center"/>
    </xf>
    <xf numFmtId="0" fontId="17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V0599 Vul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78-466D-949E-651D85DBB99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-1.1555999997653998E-2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78-466D-949E-651D85DBB99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78-466D-949E-651D85DBB99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78-466D-949E-651D85DBB99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78-466D-949E-651D85DBB99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78-466D-949E-651D85DBB99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78-466D-949E-651D85DBB99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-8.6736173798840355E-19</c:v>
                </c:pt>
                <c:pt idx="1">
                  <c:v>-1.1555999997653998E-2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78-466D-949E-651D85DBB99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278-466D-949E-651D85DBB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934512"/>
        <c:axId val="1"/>
      </c:scatterChart>
      <c:valAx>
        <c:axId val="63593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934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238125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89F6A11-CC8F-2F56-AE46-04AB579E9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0" t="s">
        <v>45</v>
      </c>
      <c r="E1" s="5" t="s">
        <v>40</v>
      </c>
    </row>
    <row r="2" spans="1:7" s="5" customFormat="1" ht="12.95" customHeight="1" x14ac:dyDescent="0.2">
      <c r="A2" s="5" t="s">
        <v>24</v>
      </c>
      <c r="B2" s="5" t="s">
        <v>41</v>
      </c>
      <c r="C2" s="6" t="s">
        <v>39</v>
      </c>
      <c r="F2" s="5" t="e">
        <v>#N/A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 t="s">
        <v>38</v>
      </c>
      <c r="D4" s="10" t="s">
        <v>38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5">
        <v>52755.98</v>
      </c>
      <c r="D7" s="11" t="s">
        <v>42</v>
      </c>
    </row>
    <row r="8" spans="1:7" s="5" customFormat="1" ht="12.95" customHeight="1" x14ac:dyDescent="0.2">
      <c r="A8" s="5" t="s">
        <v>3</v>
      </c>
      <c r="C8" s="5">
        <v>0.52141599999999999</v>
      </c>
      <c r="D8" s="11" t="s">
        <v>42</v>
      </c>
    </row>
    <row r="9" spans="1:7" s="5" customFormat="1" ht="12.95" customHeight="1" x14ac:dyDescent="0.2">
      <c r="A9" s="12" t="s">
        <v>30</v>
      </c>
      <c r="C9" s="13">
        <v>-9.5</v>
      </c>
      <c r="D9" s="5" t="s">
        <v>31</v>
      </c>
    </row>
    <row r="10" spans="1:7" s="5" customFormat="1" ht="12.95" customHeight="1" thickBot="1" x14ac:dyDescent="0.25">
      <c r="C10" s="14" t="s">
        <v>20</v>
      </c>
      <c r="D10" s="14" t="s">
        <v>21</v>
      </c>
    </row>
    <row r="11" spans="1:7" s="5" customFormat="1" ht="12.95" customHeight="1" x14ac:dyDescent="0.2">
      <c r="A11" s="5" t="s">
        <v>15</v>
      </c>
      <c r="C11" s="15">
        <f ca="1">INTERCEPT(INDIRECT($G$11):G992,INDIRECT($F$11):F992)</f>
        <v>-8.6736173798840355E-19</v>
      </c>
      <c r="D11" s="7"/>
      <c r="F11" s="16" t="str">
        <f>"F"&amp;E19</f>
        <v>F21</v>
      </c>
      <c r="G11" s="15" t="str">
        <f>"G"&amp;E19</f>
        <v>G21</v>
      </c>
    </row>
    <row r="12" spans="1:7" s="5" customFormat="1" ht="12.95" customHeight="1" x14ac:dyDescent="0.2">
      <c r="A12" s="5" t="s">
        <v>16</v>
      </c>
      <c r="C12" s="15">
        <f ca="1">SLOPE(INDIRECT($G$11):G992,INDIRECT($F$11):F992)</f>
        <v>-1.9533468555872207E-6</v>
      </c>
      <c r="D12" s="7"/>
      <c r="E12" s="31" t="s">
        <v>49</v>
      </c>
      <c r="F12" s="32" t="s">
        <v>50</v>
      </c>
    </row>
    <row r="13" spans="1:7" s="5" customFormat="1" ht="12.95" customHeight="1" x14ac:dyDescent="0.2">
      <c r="A13" s="5" t="s">
        <v>19</v>
      </c>
      <c r="C13" s="7" t="s">
        <v>13</v>
      </c>
      <c r="E13" s="33" t="s">
        <v>35</v>
      </c>
      <c r="F13" s="34">
        <v>1</v>
      </c>
    </row>
    <row r="14" spans="1:7" s="5" customFormat="1" ht="12.95" customHeight="1" x14ac:dyDescent="0.2">
      <c r="E14" s="33" t="s">
        <v>32</v>
      </c>
      <c r="F14" s="35">
        <f ca="1">NOW()+15018.5+$C$9/24</f>
        <v>60519.754857060179</v>
      </c>
    </row>
    <row r="15" spans="1:7" s="5" customFormat="1" ht="12.95" customHeight="1" x14ac:dyDescent="0.2">
      <c r="A15" s="18" t="s">
        <v>17</v>
      </c>
      <c r="C15" s="19">
        <f ca="1">(C7+C11)+(C8+C12)*INT(MAX(F21:F3533))</f>
        <v>55840.665500000003</v>
      </c>
      <c r="E15" s="33" t="s">
        <v>36</v>
      </c>
      <c r="F15" s="35">
        <f ca="1">ROUND(2*(F14-$C$7)/$C$8,0)/2+F13</f>
        <v>14891</v>
      </c>
    </row>
    <row r="16" spans="1:7" s="5" customFormat="1" ht="12.95" customHeight="1" x14ac:dyDescent="0.2">
      <c r="A16" s="8" t="s">
        <v>4</v>
      </c>
      <c r="C16" s="20">
        <f ca="1">+C8+C12</f>
        <v>0.52141404665314439</v>
      </c>
      <c r="E16" s="33" t="s">
        <v>37</v>
      </c>
      <c r="F16" s="35">
        <f ca="1">ROUND(2*(F14-$C$15)/$C$16,0)/2+F13</f>
        <v>8975</v>
      </c>
    </row>
    <row r="17" spans="1:19" s="5" customFormat="1" ht="12.95" customHeight="1" thickBot="1" x14ac:dyDescent="0.25">
      <c r="A17" s="17" t="s">
        <v>29</v>
      </c>
      <c r="C17" s="5">
        <f>COUNT(C21:C2191)</f>
        <v>2</v>
      </c>
      <c r="E17" s="33" t="s">
        <v>47</v>
      </c>
      <c r="F17" s="36">
        <f ca="1">+$C$15+$C$16*$F$16-15018.5-$C$9/24</f>
        <v>45502.252402045306</v>
      </c>
    </row>
    <row r="18" spans="1:19" s="5" customFormat="1" ht="12.95" customHeight="1" thickTop="1" thickBot="1" x14ac:dyDescent="0.25">
      <c r="A18" s="8" t="s">
        <v>5</v>
      </c>
      <c r="C18" s="21">
        <f ca="1">+C15</f>
        <v>55840.665500000003</v>
      </c>
      <c r="D18" s="22">
        <f ca="1">+C16</f>
        <v>0.52141404665314439</v>
      </c>
      <c r="E18" s="38" t="s">
        <v>48</v>
      </c>
      <c r="F18" s="37">
        <f ca="1">+($C$15+$C$16*$F$16)-($C$16/2)-15018.5-$C$9/24</f>
        <v>45501.991695021978</v>
      </c>
    </row>
    <row r="19" spans="1:19" s="5" customFormat="1" ht="12.95" customHeight="1" thickTop="1" x14ac:dyDescent="0.2">
      <c r="A19" s="23" t="s">
        <v>33</v>
      </c>
      <c r="E19" s="24">
        <v>21</v>
      </c>
      <c r="S19" s="5">
        <f ca="1">SQRT(SUM(S21:S50)/(COUNT(S21:S50)-1))</f>
        <v>8.6736173798840355E-19</v>
      </c>
    </row>
    <row r="20" spans="1:19" s="5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5" t="str">
        <f>A21</f>
        <v>VSX</v>
      </c>
      <c r="I20" s="25" t="s">
        <v>46</v>
      </c>
      <c r="J20" s="25" t="s">
        <v>18</v>
      </c>
      <c r="K20" s="25" t="s">
        <v>25</v>
      </c>
      <c r="L20" s="25" t="s">
        <v>26</v>
      </c>
      <c r="M20" s="25" t="s">
        <v>27</v>
      </c>
      <c r="N20" s="25" t="s">
        <v>28</v>
      </c>
      <c r="O20" s="25" t="s">
        <v>23</v>
      </c>
      <c r="P20" s="26" t="s">
        <v>22</v>
      </c>
      <c r="Q20" s="14" t="s">
        <v>14</v>
      </c>
      <c r="R20" s="27" t="s">
        <v>34</v>
      </c>
    </row>
    <row r="21" spans="1:19" s="5" customFormat="1" ht="12.95" customHeight="1" x14ac:dyDescent="0.2">
      <c r="A21" s="5" t="str">
        <f>D7</f>
        <v>VSX</v>
      </c>
      <c r="C21" s="28">
        <f>C$7</f>
        <v>52755.98</v>
      </c>
      <c r="D21" s="28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-8.6736173798840355E-19</v>
      </c>
      <c r="Q21" s="29">
        <f>+C21-15018.5</f>
        <v>37737.480000000003</v>
      </c>
      <c r="S21" s="5">
        <f ca="1">+(O21-G21)^2</f>
        <v>7.5231638452626401E-37</v>
      </c>
    </row>
    <row r="22" spans="1:19" s="5" customFormat="1" ht="12.95" customHeight="1" x14ac:dyDescent="0.2">
      <c r="A22" s="3" t="s">
        <v>43</v>
      </c>
      <c r="B22" s="4" t="s">
        <v>44</v>
      </c>
      <c r="C22" s="3">
        <v>55840.665500000003</v>
      </c>
      <c r="D22" s="3">
        <v>6.9999999999999999E-4</v>
      </c>
      <c r="E22" s="5">
        <f>+(C22-C$7)/C$8</f>
        <v>5915.9778372738847</v>
      </c>
      <c r="F22" s="5">
        <f>ROUND(2*E22,0)/2</f>
        <v>5916</v>
      </c>
      <c r="G22" s="5">
        <f>+C22-(C$7+F22*C$8)</f>
        <v>-1.1555999997653998E-2</v>
      </c>
      <c r="I22" s="5">
        <f>+G22</f>
        <v>-1.1555999997653998E-2</v>
      </c>
      <c r="O22" s="5">
        <f ca="1">+C$11+C$12*$F22</f>
        <v>-1.1555999997653998E-2</v>
      </c>
      <c r="Q22" s="29">
        <f>+C22-15018.5</f>
        <v>40822.165500000003</v>
      </c>
      <c r="S22" s="5">
        <f ca="1">+(O22-G22)^2</f>
        <v>0</v>
      </c>
    </row>
    <row r="23" spans="1:19" s="5" customFormat="1" ht="12.95" customHeight="1" x14ac:dyDescent="0.2">
      <c r="C23" s="28"/>
      <c r="D23" s="28"/>
      <c r="Q23" s="29"/>
    </row>
    <row r="24" spans="1:19" s="5" customFormat="1" ht="12.95" customHeight="1" x14ac:dyDescent="0.2">
      <c r="C24" s="28"/>
      <c r="D24" s="28"/>
      <c r="Q24" s="29"/>
    </row>
    <row r="25" spans="1:19" s="5" customFormat="1" ht="12.95" customHeight="1" x14ac:dyDescent="0.2">
      <c r="C25" s="28"/>
      <c r="D25" s="28"/>
      <c r="Q25" s="29"/>
    </row>
    <row r="26" spans="1:19" s="5" customFormat="1" ht="12.95" customHeight="1" x14ac:dyDescent="0.2">
      <c r="C26" s="28"/>
      <c r="D26" s="28"/>
      <c r="Q26" s="29"/>
    </row>
    <row r="27" spans="1:19" s="5" customFormat="1" ht="12.95" customHeight="1" x14ac:dyDescent="0.2">
      <c r="C27" s="28"/>
      <c r="D27" s="28"/>
      <c r="Q27" s="29"/>
    </row>
    <row r="28" spans="1:19" s="5" customFormat="1" ht="12.95" customHeight="1" x14ac:dyDescent="0.2">
      <c r="C28" s="28"/>
      <c r="D28" s="28"/>
      <c r="Q28" s="29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2024-07-28T06:06:59Z</dcterms:modified>
</cp:coreProperties>
</file>