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8C5AA0B-4771-4A64-BBB2-DF2D3A9247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/>
  <c r="G42" i="1"/>
  <c r="K42" i="1"/>
  <c r="Q42" i="1"/>
  <c r="Q41" i="1"/>
  <c r="E41" i="1"/>
  <c r="F41" i="1"/>
  <c r="G41" i="1"/>
  <c r="K41" i="1"/>
  <c r="E21" i="1"/>
  <c r="F21" i="1"/>
  <c r="G21" i="1"/>
  <c r="K21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K32" i="1"/>
  <c r="E33" i="1"/>
  <c r="F33" i="1"/>
  <c r="G33" i="1"/>
  <c r="J33" i="1"/>
  <c r="E34" i="1"/>
  <c r="F34" i="1"/>
  <c r="G34" i="1"/>
  <c r="J34" i="1"/>
  <c r="E35" i="1"/>
  <c r="F35" i="1"/>
  <c r="G35" i="1"/>
  <c r="K35" i="1"/>
  <c r="E36" i="1"/>
  <c r="F36" i="1"/>
  <c r="G36" i="1"/>
  <c r="J36" i="1"/>
  <c r="E37" i="1"/>
  <c r="F37" i="1"/>
  <c r="G37" i="1"/>
  <c r="J37" i="1"/>
  <c r="E38" i="1"/>
  <c r="F38" i="1"/>
  <c r="G38" i="1"/>
  <c r="K38" i="1"/>
  <c r="E39" i="1"/>
  <c r="F39" i="1"/>
  <c r="G39" i="1"/>
  <c r="K39" i="1"/>
  <c r="E22" i="1"/>
  <c r="F22" i="1"/>
  <c r="U22" i="1"/>
  <c r="E23" i="1"/>
  <c r="F23" i="1"/>
  <c r="U23" i="1"/>
  <c r="E24" i="1"/>
  <c r="F24" i="1"/>
  <c r="U24" i="1"/>
  <c r="E25" i="1"/>
  <c r="F25" i="1"/>
  <c r="U25" i="1"/>
  <c r="E40" i="1"/>
  <c r="F40" i="1"/>
  <c r="U40" i="1"/>
  <c r="E9" i="1"/>
  <c r="D9" i="1"/>
  <c r="Q21" i="1"/>
  <c r="Q22" i="1"/>
  <c r="Q23" i="1"/>
  <c r="Q24" i="1"/>
  <c r="Q25" i="1"/>
  <c r="Q32" i="1"/>
  <c r="Q35" i="1"/>
  <c r="Q39" i="1"/>
  <c r="Q40" i="1"/>
  <c r="G21" i="2"/>
  <c r="C21" i="2"/>
  <c r="E21" i="2"/>
  <c r="G22" i="2"/>
  <c r="C22" i="2"/>
  <c r="E22" i="2"/>
  <c r="G23" i="2"/>
  <c r="C23" i="2"/>
  <c r="E23" i="2"/>
  <c r="G24" i="2"/>
  <c r="C24" i="2"/>
  <c r="E24" i="2"/>
  <c r="G11" i="2"/>
  <c r="C11" i="2"/>
  <c r="E11" i="2"/>
  <c r="G12" i="2"/>
  <c r="C12" i="2"/>
  <c r="E12" i="2"/>
  <c r="G13" i="2"/>
  <c r="C13" i="2"/>
  <c r="E13" i="2"/>
  <c r="G14" i="2"/>
  <c r="C14" i="2"/>
  <c r="E14" i="2"/>
  <c r="G15" i="2"/>
  <c r="C15" i="2"/>
  <c r="E15" i="2"/>
  <c r="G16" i="2"/>
  <c r="C16" i="2"/>
  <c r="E16" i="2"/>
  <c r="G25" i="2"/>
  <c r="C25" i="2"/>
  <c r="E25" i="2"/>
  <c r="G17" i="2"/>
  <c r="C17" i="2"/>
  <c r="E17" i="2"/>
  <c r="G26" i="2"/>
  <c r="C26" i="2"/>
  <c r="E26" i="2"/>
  <c r="G27" i="2"/>
  <c r="C27" i="2"/>
  <c r="E27" i="2"/>
  <c r="G18" i="2"/>
  <c r="C18" i="2"/>
  <c r="E18" i="2"/>
  <c r="G19" i="2"/>
  <c r="C19" i="2"/>
  <c r="E19" i="2"/>
  <c r="G28" i="2"/>
  <c r="C28" i="2"/>
  <c r="E28" i="2"/>
  <c r="G29" i="2"/>
  <c r="C29" i="2"/>
  <c r="E29" i="2"/>
  <c r="G20" i="2"/>
  <c r="C20" i="2"/>
  <c r="E20" i="2"/>
  <c r="H29" i="2"/>
  <c r="D29" i="2"/>
  <c r="B29" i="2"/>
  <c r="A29" i="2"/>
  <c r="H28" i="2"/>
  <c r="B28" i="2"/>
  <c r="D28" i="2"/>
  <c r="A28" i="2"/>
  <c r="H19" i="2"/>
  <c r="D19" i="2"/>
  <c r="B19" i="2"/>
  <c r="A19" i="2"/>
  <c r="H18" i="2"/>
  <c r="B18" i="2"/>
  <c r="D18" i="2"/>
  <c r="A18" i="2"/>
  <c r="H27" i="2"/>
  <c r="D27" i="2"/>
  <c r="B27" i="2"/>
  <c r="A27" i="2"/>
  <c r="H26" i="2"/>
  <c r="B26" i="2"/>
  <c r="D26" i="2"/>
  <c r="A26" i="2"/>
  <c r="H17" i="2"/>
  <c r="D17" i="2"/>
  <c r="B17" i="2"/>
  <c r="A17" i="2"/>
  <c r="H25" i="2"/>
  <c r="B25" i="2"/>
  <c r="D25" i="2"/>
  <c r="A25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Q33" i="1"/>
  <c r="Q38" i="1"/>
  <c r="Q34" i="1"/>
  <c r="Q36" i="1"/>
  <c r="Q37" i="1"/>
  <c r="F16" i="1"/>
  <c r="F17" i="1" s="1"/>
  <c r="C17" i="1"/>
  <c r="Q28" i="1"/>
  <c r="Q29" i="1"/>
  <c r="Q30" i="1"/>
  <c r="Q31" i="1"/>
  <c r="Q26" i="1"/>
  <c r="Q27" i="1"/>
  <c r="C12" i="1"/>
  <c r="C11" i="1"/>
  <c r="O42" i="1" l="1"/>
  <c r="O37" i="1"/>
  <c r="O23" i="1"/>
  <c r="O31" i="1"/>
  <c r="O22" i="1"/>
  <c r="O24" i="1"/>
  <c r="O35" i="1"/>
  <c r="O32" i="1"/>
  <c r="O25" i="1"/>
  <c r="O30" i="1"/>
  <c r="O39" i="1"/>
  <c r="O27" i="1"/>
  <c r="O33" i="1"/>
  <c r="O41" i="1"/>
  <c r="O38" i="1"/>
  <c r="O29" i="1"/>
  <c r="C15" i="1"/>
  <c r="F18" i="1" s="1"/>
  <c r="O28" i="1"/>
  <c r="O34" i="1"/>
  <c r="O26" i="1"/>
  <c r="O40" i="1"/>
  <c r="O21" i="1"/>
  <c r="O36" i="1"/>
  <c r="C16" i="1"/>
  <c r="D18" i="1" s="1"/>
  <c r="C18" i="1" l="1"/>
  <c r="F19" i="1"/>
</calcChain>
</file>

<file path=xl/sharedStrings.xml><?xml version="1.0" encoding="utf-8"?>
<sst xmlns="http://schemas.openxmlformats.org/spreadsheetml/2006/main" count="250" uniqueCount="144">
  <si>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</si>
  <si>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</si>
  <si>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</si>
  <si>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</si>
  <si>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</si>
  <si>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</si>
  <si>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</si>
  <si>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</si>
  <si>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</si>
  <si>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</si>
  <si>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</si>
  <si>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</si>
  <si>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</si>
  <si>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</si>
  <si>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</si>
  <si>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</si>
  <si>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</si>
  <si>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</si>
  <si>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</si>
  <si>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</si>
  <si>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</si>
  <si>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</si>
  <si>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</si>
  <si>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</si>
  <si>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</si>
  <si>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</si>
  <si>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5657</t>
  </si>
  <si>
    <t>II</t>
  </si>
  <si>
    <t>not avail.</t>
  </si>
  <si>
    <t>V1430 Aql / GSC 0472-2839</t>
  </si>
  <si>
    <t>EA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</si>
  <si>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</si>
  <si>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</si>
  <si>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</si>
  <si>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</si>
  <si>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</si>
  <si>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</si>
  <si>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</si>
  <si>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</si>
  <si>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</si>
  <si>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</si>
  <si>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6010</t>
  </si>
  <si>
    <t>I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</si>
  <si>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</si>
  <si>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</si>
  <si>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</si>
  <si>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</si>
  <si>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</si>
  <si>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</si>
  <si>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</si>
  <si>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</si>
  <si>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</si>
  <si>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</si>
  <si>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</si>
  <si>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</si>
  <si>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</si>
  <si>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2448533.7114 </t>
  </si>
  <si>
    <t> 04.10.1991 05:04 </t>
  </si>
  <si>
    <t> 0.8727 </t>
  </si>
  <si>
    <t>E </t>
  </si>
  <si>
    <t>?</t>
  </si>
  <si>
    <t> D.Summers et al. </t>
  </si>
  <si>
    <t>IBVS 3708 </t>
  </si>
  <si>
    <t>2451703.454 </t>
  </si>
  <si>
    <t> 07.06.2000 22:53 </t>
  </si>
  <si>
    <t> 0.318 </t>
  </si>
  <si>
    <t>V </t>
  </si>
  <si>
    <t> R.Meyer </t>
  </si>
  <si>
    <t>BAVM 143 </t>
  </si>
  <si>
    <t>2452055.457 </t>
  </si>
  <si>
    <t> 25.05.2001 22:58 </t>
  </si>
  <si>
    <t> 0.211 </t>
  </si>
  <si>
    <t>2452085.476 </t>
  </si>
  <si>
    <t> 24.06.2001 23:25 </t>
  </si>
  <si>
    <t> 0.087 </t>
  </si>
  <si>
    <t>BAVM 154 </t>
  </si>
  <si>
    <t>2452442.476 </t>
  </si>
  <si>
    <t> 16.06.2002 23:25 </t>
  </si>
  <si>
    <t> 0.172 </t>
  </si>
  <si>
    <t>BAVM 157 </t>
  </si>
  <si>
    <t>2453251.3730 </t>
  </si>
  <si>
    <t> 02.09.2004 20:57 </t>
  </si>
  <si>
    <t> 0.0030 </t>
  </si>
  <si>
    <t>o</t>
  </si>
  <si>
    <t> F.Walter </t>
  </si>
  <si>
    <t>BAVM 173 </t>
  </si>
  <si>
    <t>2453255.3020 </t>
  </si>
  <si>
    <t> 06.09.2004 19:14 </t>
  </si>
  <si>
    <t> 0.0002 </t>
  </si>
  <si>
    <t>2453621.3933 </t>
  </si>
  <si>
    <t> 07.09.2005 21:26 </t>
  </si>
  <si>
    <t> 0.0024 </t>
  </si>
  <si>
    <t>C </t>
  </si>
  <si>
    <t> W.Quester </t>
  </si>
  <si>
    <t>BAVM 178 </t>
  </si>
  <si>
    <t>2453635.3723 </t>
  </si>
  <si>
    <t> 21.09.2005 20:56 </t>
  </si>
  <si>
    <t> 0.0018 </t>
  </si>
  <si>
    <t>2453653.2834 </t>
  </si>
  <si>
    <t> 09.10.2005 18:48 </t>
  </si>
  <si>
    <t> 0.0016 </t>
  </si>
  <si>
    <t>2453918.4579 </t>
  </si>
  <si>
    <t> 01.07.2006 22:59 </t>
  </si>
  <si>
    <t> 0.0017 </t>
  </si>
  <si>
    <t>2454389.3923 </t>
  </si>
  <si>
    <t> 15.10.2007 21:24 </t>
  </si>
  <si>
    <t> 0.0004 </t>
  </si>
  <si>
    <t>BAVM 193 </t>
  </si>
  <si>
    <t>2455444.4111 </t>
  </si>
  <si>
    <t> 04.09.2010 21:51 </t>
  </si>
  <si>
    <t> 0.0009 </t>
  </si>
  <si>
    <t> L.Pagel </t>
  </si>
  <si>
    <t>BAVM 215 </t>
  </si>
  <si>
    <t>2455479.3605 </t>
  </si>
  <si>
    <t> 09.10.2010 20:39 </t>
  </si>
  <si>
    <t> 0.0014 </t>
  </si>
  <si>
    <t>BAVM 220 </t>
  </si>
  <si>
    <t>2455483.2910 </t>
  </si>
  <si>
    <t> 13.10.2010 18:59 </t>
  </si>
  <si>
    <t>2455689.4890 </t>
  </si>
  <si>
    <t> 07.05.2011 23:44 </t>
  </si>
  <si>
    <t> -0.0000 </t>
  </si>
  <si>
    <t>2456513.41231 </t>
  </si>
  <si>
    <t> 08.08.2013 21:53 </t>
  </si>
  <si>
    <t> 0.00419 </t>
  </si>
  <si>
    <t> M.Urbanik </t>
  </si>
  <si>
    <t>OEJV 0160 </t>
  </si>
  <si>
    <t>2457219.3755 </t>
  </si>
  <si>
    <t> 15.07.2015 21:00 </t>
  </si>
  <si>
    <t> 0.0007 </t>
  </si>
  <si>
    <t>-I</t>
  </si>
  <si>
    <t> F.Agerer </t>
  </si>
  <si>
    <t>BAVM 241 (=IBVS 6157) </t>
  </si>
  <si>
    <t>2457235.4027 </t>
  </si>
  <si>
    <t> 31.07.2015 21:39 </t>
  </si>
  <si>
    <t>5058.5</t>
  </si>
  <si>
    <t> -0.1360 </t>
  </si>
  <si>
    <t> H.Braunwarth </t>
  </si>
  <si>
    <t>s5</t>
  </si>
  <si>
    <t>s6</t>
  </si>
  <si>
    <t>s7</t>
  </si>
  <si>
    <t>IBVS 3708</t>
  </si>
  <si>
    <t>BAD?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</si>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</sst>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20" fillId="0" borderId="8" xfId="0" applyFont="1" applyFill="1" applyBorder="1" applyAlignment="1">
      <alignment horizontal="center"/>
    </xf>
    <xf numFmtId="0" fontId="15" fillId="0" borderId="0" xfId="0" applyFont="1" applyAlignment="1"/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V1430 Aql - O-C Diagr.</a:t>
            </a:r>
          </a:p>
        </c:rich>
      </c:tx>
      <c:layout>
        <c:manualLayout>
          <c:xMode val="edge"/>
          <c:yMode val="edge"/>
          <c:x val="0.36187432952141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109861001442757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7E-4A60-B887-C27226D0DD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7E-4A60-B887-C27226D0DD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5">
                  <c:v>0</c:v>
                </c:pt>
                <c:pt idx="6">
                  <c:v>-2.7399999962653965E-3</c:v>
                </c:pt>
                <c:pt idx="7">
                  <c:v>-1.1999999696854502E-4</c:v>
                </c:pt>
                <c:pt idx="8">
                  <c:v>-6.3999999838415533E-4</c:v>
                </c:pt>
                <c:pt idx="9">
                  <c:v>-8.0000000161817297E-4</c:v>
                </c:pt>
                <c:pt idx="10">
                  <c:v>-3.1999999919207767E-4</c:v>
                </c:pt>
                <c:pt idx="12">
                  <c:v>8.9999999909196049E-4</c:v>
                </c:pt>
                <c:pt idx="13">
                  <c:v>1.6000000032363459E-3</c:v>
                </c:pt>
                <c:pt idx="15">
                  <c:v>3.6000000545755029E-4</c:v>
                </c:pt>
                <c:pt idx="16">
                  <c:v>3.3999999868683517E-4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7E-4A60-B887-C27226D0DD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-1.0459999997692648E-2</c:v>
                </c:pt>
                <c:pt idx="11">
                  <c:v>-9.9999999656574801E-4</c:v>
                </c:pt>
                <c:pt idx="14">
                  <c:v>2.6000000070780516E-4</c:v>
                </c:pt>
                <c:pt idx="17">
                  <c:v>5.6899999981396832E-3</c:v>
                </c:pt>
                <c:pt idx="18">
                  <c:v>3.1200000012177043E-3</c:v>
                </c:pt>
                <c:pt idx="20">
                  <c:v>-9.799999970709905E-4</c:v>
                </c:pt>
                <c:pt idx="21">
                  <c:v>2.8400000010151416E-3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7E-4A60-B887-C27226D0DD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7E-4A60-B887-C27226D0DD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7E-4A60-B887-C27226D0DD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7E-4A60-B887-C27226D0DD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-7.9606415127046297E-3</c:v>
                </c:pt>
                <c:pt idx="1">
                  <c:v>-3.9725263786243407E-3</c:v>
                </c:pt>
                <c:pt idx="2">
                  <c:v>-3.5300742448130624E-3</c:v>
                </c:pt>
                <c:pt idx="3">
                  <c:v>-3.4921497762006675E-3</c:v>
                </c:pt>
                <c:pt idx="4">
                  <c:v>-3.043102082630712E-3</c:v>
                </c:pt>
                <c:pt idx="5">
                  <c:v>-2.0251873598748278E-3</c:v>
                </c:pt>
                <c:pt idx="6">
                  <c:v>-2.0202406900558197E-3</c:v>
                </c:pt>
                <c:pt idx="7">
                  <c:v>-1.5596507669081788E-3</c:v>
                </c:pt>
                <c:pt idx="8">
                  <c:v>-1.5420626075517056E-3</c:v>
                </c:pt>
                <c:pt idx="9">
                  <c:v>-1.5195277783762243E-3</c:v>
                </c:pt>
                <c:pt idx="10">
                  <c:v>-1.185902380583124E-3</c:v>
                </c:pt>
                <c:pt idx="11">
                  <c:v>-5.9340126226193452E-4</c:v>
                </c:pt>
                <c:pt idx="12">
                  <c:v>7.3395513917189938E-4</c:v>
                </c:pt>
                <c:pt idx="13">
                  <c:v>7.7792553756308221E-4</c:v>
                </c:pt>
                <c:pt idx="14">
                  <c:v>7.8287220738209066E-4</c:v>
                </c:pt>
                <c:pt idx="15">
                  <c:v>7.8287220738209066E-4</c:v>
                </c:pt>
                <c:pt idx="16">
                  <c:v>1.0422975578900698E-3</c:v>
                </c:pt>
                <c:pt idx="17">
                  <c:v>2.0788996999622062E-3</c:v>
                </c:pt>
                <c:pt idx="18">
                  <c:v>2.9671017474641012E-3</c:v>
                </c:pt>
                <c:pt idx="19">
                  <c:v>2.9874380567200235E-3</c:v>
                </c:pt>
                <c:pt idx="20">
                  <c:v>3.4013094315770323E-3</c:v>
                </c:pt>
                <c:pt idx="21">
                  <c:v>3.8893808537191631E-3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7E-4A60-B887-C27226D0DD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1">
                  <c:v>-0.12402000000292901</c:v>
                </c:pt>
                <c:pt idx="2">
                  <c:v>0.20668000000296161</c:v>
                </c:pt>
                <c:pt idx="3">
                  <c:v>8.2340000000840519E-2</c:v>
                </c:pt>
                <c:pt idx="4">
                  <c:v>0.16772000000491971</c:v>
                </c:pt>
                <c:pt idx="19">
                  <c:v>-0.13350000000355067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7E-4A60-B887-C27226D0D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501736"/>
        <c:axId val="1"/>
      </c:scatterChart>
      <c:valAx>
        <c:axId val="512501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501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4921861831491"/>
          <c:w val="0.7576743456340978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V1430 Aql - O-C Diagr.</a:t>
            </a:r>
          </a:p>
        </c:rich>
      </c:tx>
      <c:layout>
        <c:manualLayout>
          <c:xMode val="edge"/>
          <c:yMode val="edge"/>
          <c:x val="0.3612903225806451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11290322580645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E6-4B6E-9D6C-0DDD3D54B4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E6-4B6E-9D6C-0DDD3D54B4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5">
                  <c:v>0</c:v>
                </c:pt>
                <c:pt idx="6">
                  <c:v>-2.7399999962653965E-3</c:v>
                </c:pt>
                <c:pt idx="7">
                  <c:v>-1.1999999696854502E-4</c:v>
                </c:pt>
                <c:pt idx="8">
                  <c:v>-6.3999999838415533E-4</c:v>
                </c:pt>
                <c:pt idx="9">
                  <c:v>-8.0000000161817297E-4</c:v>
                </c:pt>
                <c:pt idx="10">
                  <c:v>-3.1999999919207767E-4</c:v>
                </c:pt>
                <c:pt idx="12">
                  <c:v>8.9999999909196049E-4</c:v>
                </c:pt>
                <c:pt idx="13">
                  <c:v>1.6000000032363459E-3</c:v>
                </c:pt>
                <c:pt idx="15">
                  <c:v>3.6000000545755029E-4</c:v>
                </c:pt>
                <c:pt idx="16">
                  <c:v>3.3999999868683517E-4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E6-4B6E-9D6C-0DDD3D54B4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-1.0459999997692648E-2</c:v>
                </c:pt>
                <c:pt idx="11">
                  <c:v>-9.9999999656574801E-4</c:v>
                </c:pt>
                <c:pt idx="14">
                  <c:v>2.6000000070780516E-4</c:v>
                </c:pt>
                <c:pt idx="17">
                  <c:v>5.6899999981396832E-3</c:v>
                </c:pt>
                <c:pt idx="18">
                  <c:v>3.1200000012177043E-3</c:v>
                </c:pt>
                <c:pt idx="20">
                  <c:v>-9.799999970709905E-4</c:v>
                </c:pt>
                <c:pt idx="21">
                  <c:v>2.8400000010151416E-3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E6-4B6E-9D6C-0DDD3D54B4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E6-4B6E-9D6C-0DDD3D54B4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E6-4B6E-9D6C-0DDD3D54B4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0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4.0000000000000002E-4</c:v>
                  </c:pt>
                  <c:pt idx="18">
                    <c:v>1.2999999999999999E-3</c:v>
                  </c:pt>
                  <c:pt idx="19">
                    <c:v>1E-3</c:v>
                  </c:pt>
                  <c:pt idx="20">
                    <c:v>2.3E-3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E6-4B6E-9D6C-0DDD3D54B4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-7.9606415127046297E-3</c:v>
                </c:pt>
                <c:pt idx="1">
                  <c:v>-3.9725263786243407E-3</c:v>
                </c:pt>
                <c:pt idx="2">
                  <c:v>-3.5300742448130624E-3</c:v>
                </c:pt>
                <c:pt idx="3">
                  <c:v>-3.4921497762006675E-3</c:v>
                </c:pt>
                <c:pt idx="4">
                  <c:v>-3.043102082630712E-3</c:v>
                </c:pt>
                <c:pt idx="5">
                  <c:v>-2.0251873598748278E-3</c:v>
                </c:pt>
                <c:pt idx="6">
                  <c:v>-2.0202406900558197E-3</c:v>
                </c:pt>
                <c:pt idx="7">
                  <c:v>-1.5596507669081788E-3</c:v>
                </c:pt>
                <c:pt idx="8">
                  <c:v>-1.5420626075517056E-3</c:v>
                </c:pt>
                <c:pt idx="9">
                  <c:v>-1.5195277783762243E-3</c:v>
                </c:pt>
                <c:pt idx="10">
                  <c:v>-1.185902380583124E-3</c:v>
                </c:pt>
                <c:pt idx="11">
                  <c:v>-5.9340126226193452E-4</c:v>
                </c:pt>
                <c:pt idx="12">
                  <c:v>7.3395513917189938E-4</c:v>
                </c:pt>
                <c:pt idx="13">
                  <c:v>7.7792553756308221E-4</c:v>
                </c:pt>
                <c:pt idx="14">
                  <c:v>7.8287220738209066E-4</c:v>
                </c:pt>
                <c:pt idx="15">
                  <c:v>7.8287220738209066E-4</c:v>
                </c:pt>
                <c:pt idx="16">
                  <c:v>1.0422975578900698E-3</c:v>
                </c:pt>
                <c:pt idx="17">
                  <c:v>2.0788996999622062E-3</c:v>
                </c:pt>
                <c:pt idx="18">
                  <c:v>2.9671017474641012E-3</c:v>
                </c:pt>
                <c:pt idx="19">
                  <c:v>2.9874380567200235E-3</c:v>
                </c:pt>
                <c:pt idx="20">
                  <c:v>3.4013094315770323E-3</c:v>
                </c:pt>
                <c:pt idx="21">
                  <c:v>3.8893808537191631E-3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E6-4B6E-9D6C-0DDD3D54B4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-5399.5</c:v>
                </c:pt>
                <c:pt idx="1">
                  <c:v>-1771.5</c:v>
                </c:pt>
                <c:pt idx="2">
                  <c:v>-1369</c:v>
                </c:pt>
                <c:pt idx="3">
                  <c:v>-1334.5</c:v>
                </c:pt>
                <c:pt idx="4">
                  <c:v>-926</c:v>
                </c:pt>
                <c:pt idx="5">
                  <c:v>0</c:v>
                </c:pt>
                <c:pt idx="6">
                  <c:v>4.5</c:v>
                </c:pt>
                <c:pt idx="7">
                  <c:v>423.5</c:v>
                </c:pt>
                <c:pt idx="8">
                  <c:v>439.5</c:v>
                </c:pt>
                <c:pt idx="9">
                  <c:v>460</c:v>
                </c:pt>
                <c:pt idx="10">
                  <c:v>763.5</c:v>
                </c:pt>
                <c:pt idx="11">
                  <c:v>1302.5</c:v>
                </c:pt>
                <c:pt idx="12">
                  <c:v>2510</c:v>
                </c:pt>
                <c:pt idx="13">
                  <c:v>2550</c:v>
                </c:pt>
                <c:pt idx="14">
                  <c:v>2554.5</c:v>
                </c:pt>
                <c:pt idx="15">
                  <c:v>2554.5</c:v>
                </c:pt>
                <c:pt idx="16">
                  <c:v>2790.5</c:v>
                </c:pt>
                <c:pt idx="17">
                  <c:v>3733.5</c:v>
                </c:pt>
                <c:pt idx="18">
                  <c:v>4541.5</c:v>
                </c:pt>
                <c:pt idx="19">
                  <c:v>4560</c:v>
                </c:pt>
                <c:pt idx="20">
                  <c:v>4936.5</c:v>
                </c:pt>
                <c:pt idx="21">
                  <c:v>5380.5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1">
                  <c:v>-0.12402000000292901</c:v>
                </c:pt>
                <c:pt idx="2">
                  <c:v>0.20668000000296161</c:v>
                </c:pt>
                <c:pt idx="3">
                  <c:v>8.2340000000840519E-2</c:v>
                </c:pt>
                <c:pt idx="4">
                  <c:v>0.16772000000491971</c:v>
                </c:pt>
                <c:pt idx="19">
                  <c:v>-0.13350000000355067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E6-4B6E-9D6C-0DDD3D54B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864152"/>
        <c:axId val="1"/>
      </c:scatterChart>
      <c:valAx>
        <c:axId val="504864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864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9354838709677"/>
          <c:y val="0.92073298764483702"/>
          <c:w val="0.7564516129032258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171450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5050BFA-D999-59E0-BF50-FF7EE012D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28575</xdr:rowOff>
    </xdr:from>
    <xdr:to>
      <xdr:col>27</xdr:col>
      <xdr:colOff>123825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80B2AC1-2BD0-D72F-BD01-08521979C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43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3708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7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54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143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</row>
    <row r="2" spans="1:6" x14ac:dyDescent="0.2">
      <c r="A2" t="s">
        <v>25</v>
      </c>
      <c r="B2" t="s">
        <v>30</v>
      </c>
    </row>
    <row r="4" spans="1:6" ht="14.25" thickTop="1" thickBot="1" x14ac:dyDescent="0.25">
      <c r="A4" s="5" t="s">
        <v>2</v>
      </c>
      <c r="C4" s="11" t="s">
        <v>28</v>
      </c>
      <c r="D4" s="12" t="s">
        <v>28</v>
      </c>
    </row>
    <row r="5" spans="1:6" ht="13.5" thickTop="1" x14ac:dyDescent="0.2">
      <c r="A5" s="15" t="s">
        <v>33</v>
      </c>
      <c r="B5" s="13"/>
      <c r="C5" s="16">
        <v>-9.5</v>
      </c>
      <c r="D5" s="13" t="s">
        <v>34</v>
      </c>
    </row>
    <row r="6" spans="1:6" x14ac:dyDescent="0.2">
      <c r="A6" s="5" t="s">
        <v>3</v>
      </c>
    </row>
    <row r="7" spans="1:6" x14ac:dyDescent="0.2">
      <c r="A7" t="s">
        <v>4</v>
      </c>
      <c r="C7" s="61">
        <v>53251.373</v>
      </c>
    </row>
    <row r="8" spans="1:6" x14ac:dyDescent="0.2">
      <c r="A8" t="s">
        <v>5</v>
      </c>
      <c r="C8" s="62">
        <v>0.87372000000000005</v>
      </c>
    </row>
    <row r="9" spans="1:6" x14ac:dyDescent="0.2">
      <c r="A9" s="29" t="s">
        <v>38</v>
      </c>
      <c r="C9" s="30">
        <v>21</v>
      </c>
      <c r="D9" s="18" t="str">
        <f>"F"&amp;C9</f>
        <v>F21</v>
      </c>
      <c r="E9" s="19" t="str">
        <f>"G"&amp;C9</f>
        <v>G21</v>
      </c>
    </row>
    <row r="10" spans="1:6" ht="13.5" thickBot="1" x14ac:dyDescent="0.25">
      <c r="A10" s="13"/>
      <c r="B10" s="13"/>
      <c r="C10" s="4" t="s">
        <v>21</v>
      </c>
      <c r="D10" s="4" t="s">
        <v>22</v>
      </c>
      <c r="E10" s="13"/>
    </row>
    <row r="11" spans="1:6" x14ac:dyDescent="0.2">
      <c r="A11" s="13" t="s">
        <v>17</v>
      </c>
      <c r="B11" s="13"/>
      <c r="C11" s="17">
        <f ca="1">INTERCEPT(INDIRECT($E$9):G991,INDIRECT($D$9):F991)</f>
        <v>-2.0251873598748278E-3</v>
      </c>
      <c r="D11" s="3"/>
      <c r="E11" s="13"/>
    </row>
    <row r="12" spans="1:6" x14ac:dyDescent="0.2">
      <c r="A12" s="13" t="s">
        <v>18</v>
      </c>
      <c r="B12" s="13"/>
      <c r="C12" s="17">
        <f ca="1">SLOPE(INDIRECT($E$9):G991,INDIRECT($D$9):F991)</f>
        <v>1.0992599597795726E-6</v>
      </c>
      <c r="D12" s="3"/>
      <c r="E12" s="13"/>
    </row>
    <row r="13" spans="1:6" x14ac:dyDescent="0.2">
      <c r="A13" s="13" t="s">
        <v>20</v>
      </c>
      <c r="B13" s="13"/>
      <c r="C13" s="3" t="s">
        <v>15</v>
      </c>
    </row>
    <row r="14" spans="1:6" x14ac:dyDescent="0.2">
      <c r="A14" s="13"/>
      <c r="B14" s="13"/>
      <c r="C14" s="13"/>
    </row>
    <row r="15" spans="1:6" x14ac:dyDescent="0.2">
      <c r="A15" s="20" t="s">
        <v>19</v>
      </c>
      <c r="B15" s="13"/>
      <c r="C15" s="21">
        <f ca="1">(C7+C11)+(C8+C12)*INT(MAX(F21:F3532))</f>
        <v>57951.990488831223</v>
      </c>
      <c r="E15" s="22" t="s">
        <v>39</v>
      </c>
      <c r="F15" s="16">
        <v>1</v>
      </c>
    </row>
    <row r="16" spans="1:6" x14ac:dyDescent="0.2">
      <c r="A16" s="24" t="s">
        <v>6</v>
      </c>
      <c r="B16" s="13"/>
      <c r="C16" s="25">
        <f ca="1">+C8+C12</f>
        <v>0.87372109925995978</v>
      </c>
      <c r="E16" s="22" t="s">
        <v>35</v>
      </c>
      <c r="F16" s="23">
        <f ca="1">NOW()+15018.5+$C$5/24</f>
        <v>60320.74295324074</v>
      </c>
    </row>
    <row r="17" spans="1:21" ht="13.5" thickBot="1" x14ac:dyDescent="0.25">
      <c r="A17" s="22" t="s">
        <v>32</v>
      </c>
      <c r="B17" s="13"/>
      <c r="C17" s="13">
        <f>COUNT(C21:C2190)</f>
        <v>22</v>
      </c>
      <c r="E17" s="22" t="s">
        <v>40</v>
      </c>
      <c r="F17" s="23">
        <f ca="1">ROUND(2*(F16-$C$7)/$C$8,0)/2+F15</f>
        <v>8092</v>
      </c>
    </row>
    <row r="18" spans="1:21" ht="14.25" thickTop="1" thickBot="1" x14ac:dyDescent="0.25">
      <c r="A18" s="24" t="s">
        <v>7</v>
      </c>
      <c r="B18" s="13"/>
      <c r="C18" s="27">
        <f ca="1">+C15</f>
        <v>57951.990488831223</v>
      </c>
      <c r="D18" s="28">
        <f ca="1">+C16</f>
        <v>0.87372109925995978</v>
      </c>
      <c r="E18" s="22" t="s">
        <v>36</v>
      </c>
      <c r="F18" s="19">
        <f ca="1">ROUND(2*(F16-$C$15)/$C$16,0)/2+F15</f>
        <v>2712</v>
      </c>
    </row>
    <row r="19" spans="1:21" ht="13.5" thickTop="1" x14ac:dyDescent="0.2">
      <c r="E19" s="22" t="s">
        <v>37</v>
      </c>
      <c r="F19" s="26">
        <f ca="1">+$C$15+$C$16*F18-15018.5-$C$5/24</f>
        <v>45303.41794335757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138</v>
      </c>
      <c r="M20" s="7" t="s">
        <v>139</v>
      </c>
      <c r="N20" s="7" t="s">
        <v>140</v>
      </c>
      <c r="O20" s="7" t="s">
        <v>24</v>
      </c>
      <c r="P20" s="6" t="s">
        <v>23</v>
      </c>
      <c r="Q20" s="4" t="s">
        <v>16</v>
      </c>
      <c r="U20" s="53" t="s">
        <v>142</v>
      </c>
    </row>
    <row r="21" spans="1:21" x14ac:dyDescent="0.2">
      <c r="A21" s="19" t="s">
        <v>141</v>
      </c>
      <c r="B21" s="3" t="s">
        <v>42</v>
      </c>
      <c r="C21" s="9">
        <v>48533.7114</v>
      </c>
      <c r="D21" s="9" t="s">
        <v>55</v>
      </c>
      <c r="E21">
        <f t="shared" ref="E21:E40" si="0">+(C21-C$7)/C$8</f>
        <v>-5399.5119717987445</v>
      </c>
      <c r="F21">
        <f t="shared" ref="F21:F42" si="1">ROUND(2*E21,0)/2</f>
        <v>-5399.5</v>
      </c>
      <c r="G21">
        <f>+C21-(C$7+F21*C$8)</f>
        <v>-1.0459999997692648E-2</v>
      </c>
      <c r="K21">
        <f>+G21</f>
        <v>-1.0459999997692648E-2</v>
      </c>
      <c r="O21">
        <f t="shared" ref="O21:O40" ca="1" si="2">+C$11+C$12*$F21</f>
        <v>-7.9606415127046297E-3</v>
      </c>
      <c r="Q21" s="2">
        <f t="shared" ref="Q21:Q40" si="3">+C21-15018.5</f>
        <v>33515.2114</v>
      </c>
    </row>
    <row r="22" spans="1:21" x14ac:dyDescent="0.2">
      <c r="A22" s="19" t="s">
        <v>68</v>
      </c>
      <c r="B22" s="3" t="s">
        <v>27</v>
      </c>
      <c r="C22" s="9">
        <v>51703.453999999998</v>
      </c>
      <c r="D22" s="9" t="s">
        <v>55</v>
      </c>
      <c r="E22">
        <f t="shared" si="0"/>
        <v>-1771.6419447878056</v>
      </c>
      <c r="F22">
        <f t="shared" si="1"/>
        <v>-1771.5</v>
      </c>
      <c r="O22">
        <f t="shared" ca="1" si="2"/>
        <v>-3.9725263786243407E-3</v>
      </c>
      <c r="Q22" s="2">
        <f t="shared" si="3"/>
        <v>36684.953999999998</v>
      </c>
      <c r="U22" s="52">
        <f>+C22-(C$7+F22*C$8)</f>
        <v>-0.12402000000292901</v>
      </c>
    </row>
    <row r="23" spans="1:21" x14ac:dyDescent="0.2">
      <c r="A23" s="19" t="s">
        <v>68</v>
      </c>
      <c r="B23" s="3" t="s">
        <v>27</v>
      </c>
      <c r="C23" s="9">
        <v>52055.457000000002</v>
      </c>
      <c r="D23" s="9" t="s">
        <v>55</v>
      </c>
      <c r="E23">
        <f t="shared" si="0"/>
        <v>-1368.7634482442859</v>
      </c>
      <c r="F23">
        <f t="shared" si="1"/>
        <v>-1369</v>
      </c>
      <c r="O23">
        <f t="shared" ca="1" si="2"/>
        <v>-3.5300742448130624E-3</v>
      </c>
      <c r="Q23" s="2">
        <f t="shared" si="3"/>
        <v>37036.957000000002</v>
      </c>
      <c r="U23" s="52">
        <f>+C23-(C$7+F23*C$8)</f>
        <v>0.20668000000296161</v>
      </c>
    </row>
    <row r="24" spans="1:21" x14ac:dyDescent="0.2">
      <c r="A24" s="19" t="s">
        <v>75</v>
      </c>
      <c r="B24" s="3" t="s">
        <v>42</v>
      </c>
      <c r="C24" s="9">
        <v>52085.476000000002</v>
      </c>
      <c r="D24" s="9" t="s">
        <v>55</v>
      </c>
      <c r="E24">
        <f t="shared" si="0"/>
        <v>-1334.4057592821466</v>
      </c>
      <c r="F24">
        <f t="shared" si="1"/>
        <v>-1334.5</v>
      </c>
      <c r="O24">
        <f t="shared" ca="1" si="2"/>
        <v>-3.4921497762006675E-3</v>
      </c>
      <c r="Q24" s="2">
        <f t="shared" si="3"/>
        <v>37066.976000000002</v>
      </c>
      <c r="U24" s="52">
        <f>+C24-(C$7+F24*C$8)</f>
        <v>8.2340000000840519E-2</v>
      </c>
    </row>
    <row r="25" spans="1:21" x14ac:dyDescent="0.2">
      <c r="A25" s="19" t="s">
        <v>79</v>
      </c>
      <c r="B25" s="3" t="s">
        <v>27</v>
      </c>
      <c r="C25" s="9">
        <v>52442.476000000002</v>
      </c>
      <c r="D25" s="9" t="s">
        <v>55</v>
      </c>
      <c r="E25">
        <f t="shared" si="0"/>
        <v>-925.8080391887529</v>
      </c>
      <c r="F25">
        <f t="shared" si="1"/>
        <v>-926</v>
      </c>
      <c r="O25">
        <f t="shared" ca="1" si="2"/>
        <v>-3.043102082630712E-3</v>
      </c>
      <c r="Q25" s="2">
        <f t="shared" si="3"/>
        <v>37423.976000000002</v>
      </c>
      <c r="U25" s="52">
        <f>+C25-(C$7+F25*C$8)</f>
        <v>0.16772000000491971</v>
      </c>
    </row>
    <row r="26" spans="1:21" x14ac:dyDescent="0.2">
      <c r="A26" s="8" t="s">
        <v>26</v>
      </c>
      <c r="B26" s="3" t="s">
        <v>27</v>
      </c>
      <c r="C26" s="9">
        <v>53251.373</v>
      </c>
      <c r="D26" s="9">
        <v>2.0000000000000001E-4</v>
      </c>
      <c r="E26">
        <f t="shared" si="0"/>
        <v>0</v>
      </c>
      <c r="F26">
        <f t="shared" si="1"/>
        <v>0</v>
      </c>
      <c r="G26">
        <f t="shared" ref="G26:G39" si="4">+C26-(C$7+F26*C$8)</f>
        <v>0</v>
      </c>
      <c r="J26">
        <f t="shared" ref="J26:J31" si="5">+G26</f>
        <v>0</v>
      </c>
      <c r="O26">
        <f t="shared" ca="1" si="2"/>
        <v>-2.0251873598748278E-3</v>
      </c>
      <c r="Q26" s="2">
        <f t="shared" si="3"/>
        <v>38232.873</v>
      </c>
      <c r="U26" s="52"/>
    </row>
    <row r="27" spans="1:21" x14ac:dyDescent="0.2">
      <c r="A27" s="8" t="s">
        <v>26</v>
      </c>
      <c r="B27" s="10"/>
      <c r="C27" s="9">
        <v>53255.302000000003</v>
      </c>
      <c r="D27" s="9">
        <v>2.0000000000000001E-4</v>
      </c>
      <c r="E27">
        <f t="shared" si="0"/>
        <v>4.496863983889261</v>
      </c>
      <c r="F27">
        <f t="shared" si="1"/>
        <v>4.5</v>
      </c>
      <c r="G27">
        <f t="shared" si="4"/>
        <v>-2.7399999962653965E-3</v>
      </c>
      <c r="J27">
        <f t="shared" si="5"/>
        <v>-2.7399999962653965E-3</v>
      </c>
      <c r="O27">
        <f t="shared" ca="1" si="2"/>
        <v>-2.0202406900558197E-3</v>
      </c>
      <c r="Q27" s="2">
        <f t="shared" si="3"/>
        <v>38236.802000000003</v>
      </c>
      <c r="U27" s="52"/>
    </row>
    <row r="28" spans="1:21" x14ac:dyDescent="0.2">
      <c r="A28" s="13" t="s">
        <v>31</v>
      </c>
      <c r="B28" s="14"/>
      <c r="C28" s="9">
        <v>53621.393300000003</v>
      </c>
      <c r="D28" s="9">
        <v>4.0000000000000002E-4</v>
      </c>
      <c r="E28">
        <f t="shared" si="0"/>
        <v>423.49986265623284</v>
      </c>
      <c r="F28">
        <f t="shared" si="1"/>
        <v>423.5</v>
      </c>
      <c r="G28">
        <f t="shared" si="4"/>
        <v>-1.1999999696854502E-4</v>
      </c>
      <c r="J28">
        <f t="shared" si="5"/>
        <v>-1.1999999696854502E-4</v>
      </c>
      <c r="O28">
        <f t="shared" ca="1" si="2"/>
        <v>-1.5596507669081788E-3</v>
      </c>
      <c r="Q28" s="2">
        <f t="shared" si="3"/>
        <v>38602.893300000003</v>
      </c>
      <c r="U28" s="52"/>
    </row>
    <row r="29" spans="1:21" x14ac:dyDescent="0.2">
      <c r="A29" s="13" t="s">
        <v>31</v>
      </c>
      <c r="B29" s="14"/>
      <c r="C29" s="9">
        <v>53635.372300000003</v>
      </c>
      <c r="D29" s="9">
        <v>4.0000000000000002E-4</v>
      </c>
      <c r="E29">
        <f t="shared" si="0"/>
        <v>439.49926749988913</v>
      </c>
      <c r="F29">
        <f t="shared" si="1"/>
        <v>439.5</v>
      </c>
      <c r="G29">
        <f t="shared" si="4"/>
        <v>-6.3999999838415533E-4</v>
      </c>
      <c r="J29">
        <f t="shared" si="5"/>
        <v>-6.3999999838415533E-4</v>
      </c>
      <c r="O29">
        <f t="shared" ca="1" si="2"/>
        <v>-1.5420626075517056E-3</v>
      </c>
      <c r="Q29" s="2">
        <f t="shared" si="3"/>
        <v>38616.872300000003</v>
      </c>
      <c r="U29" s="52"/>
    </row>
    <row r="30" spans="1:21" x14ac:dyDescent="0.2">
      <c r="A30" s="31" t="s">
        <v>31</v>
      </c>
      <c r="B30" s="32" t="s">
        <v>27</v>
      </c>
      <c r="C30" s="33">
        <v>53653.2834</v>
      </c>
      <c r="D30" s="33">
        <v>1E-3</v>
      </c>
      <c r="E30">
        <f t="shared" si="0"/>
        <v>459.99908437485766</v>
      </c>
      <c r="F30">
        <f t="shared" si="1"/>
        <v>460</v>
      </c>
      <c r="G30">
        <f t="shared" si="4"/>
        <v>-8.0000000161817297E-4</v>
      </c>
      <c r="J30">
        <f t="shared" si="5"/>
        <v>-8.0000000161817297E-4</v>
      </c>
      <c r="O30">
        <f t="shared" ca="1" si="2"/>
        <v>-1.5195277783762243E-3</v>
      </c>
      <c r="Q30" s="2">
        <f t="shared" si="3"/>
        <v>38634.7834</v>
      </c>
      <c r="U30" s="52"/>
    </row>
    <row r="31" spans="1:21" x14ac:dyDescent="0.2">
      <c r="A31" s="31" t="s">
        <v>31</v>
      </c>
      <c r="B31" s="34"/>
      <c r="C31" s="33">
        <v>53918.457900000001</v>
      </c>
      <c r="D31" s="33">
        <v>2.9999999999999997E-4</v>
      </c>
      <c r="E31">
        <f t="shared" si="0"/>
        <v>763.49963374994456</v>
      </c>
      <c r="F31">
        <f t="shared" si="1"/>
        <v>763.5</v>
      </c>
      <c r="G31">
        <f t="shared" si="4"/>
        <v>-3.1999999919207767E-4</v>
      </c>
      <c r="J31">
        <f t="shared" si="5"/>
        <v>-3.1999999919207767E-4</v>
      </c>
      <c r="O31">
        <f t="shared" ca="1" si="2"/>
        <v>-1.185902380583124E-3</v>
      </c>
      <c r="Q31" s="2">
        <f t="shared" si="3"/>
        <v>38899.957900000001</v>
      </c>
      <c r="U31" s="52"/>
    </row>
    <row r="32" spans="1:21" x14ac:dyDescent="0.2">
      <c r="A32" s="19" t="s">
        <v>107</v>
      </c>
      <c r="B32" s="3" t="s">
        <v>42</v>
      </c>
      <c r="C32" s="9">
        <v>54389.3923</v>
      </c>
      <c r="D32" s="9" t="s">
        <v>55</v>
      </c>
      <c r="E32">
        <f t="shared" si="0"/>
        <v>1302.498855468571</v>
      </c>
      <c r="F32">
        <f t="shared" si="1"/>
        <v>1302.5</v>
      </c>
      <c r="G32">
        <f t="shared" si="4"/>
        <v>-9.9999999656574801E-4</v>
      </c>
      <c r="K32">
        <f>+G32</f>
        <v>-9.9999999656574801E-4</v>
      </c>
      <c r="O32">
        <f t="shared" ca="1" si="2"/>
        <v>-5.9340126226193452E-4</v>
      </c>
      <c r="Q32" s="2">
        <f t="shared" si="3"/>
        <v>39370.8923</v>
      </c>
      <c r="U32" s="52"/>
    </row>
    <row r="33" spans="1:21" x14ac:dyDescent="0.2">
      <c r="A33" s="37" t="s">
        <v>44</v>
      </c>
      <c r="B33" s="37"/>
      <c r="C33" s="38">
        <v>55444.411099999998</v>
      </c>
      <c r="D33" s="38">
        <v>3.5000000000000001E-3</v>
      </c>
      <c r="E33">
        <f t="shared" si="0"/>
        <v>2510.0010300782833</v>
      </c>
      <c r="F33">
        <f t="shared" si="1"/>
        <v>2510</v>
      </c>
      <c r="G33">
        <f t="shared" si="4"/>
        <v>8.9999999909196049E-4</v>
      </c>
      <c r="J33">
        <f>+G33</f>
        <v>8.9999999909196049E-4</v>
      </c>
      <c r="O33">
        <f t="shared" ca="1" si="2"/>
        <v>7.3395513917189938E-4</v>
      </c>
      <c r="Q33" s="2">
        <f t="shared" si="3"/>
        <v>40425.911099999998</v>
      </c>
      <c r="U33" s="52"/>
    </row>
    <row r="34" spans="1:21" x14ac:dyDescent="0.2">
      <c r="A34" s="35" t="s">
        <v>41</v>
      </c>
      <c r="B34" s="36" t="s">
        <v>27</v>
      </c>
      <c r="C34" s="35">
        <v>55479.3606</v>
      </c>
      <c r="D34" s="35">
        <v>3.5000000000000001E-3</v>
      </c>
      <c r="E34">
        <f t="shared" si="0"/>
        <v>2550.0018312502866</v>
      </c>
      <c r="F34">
        <f t="shared" si="1"/>
        <v>2550</v>
      </c>
      <c r="G34">
        <f t="shared" si="4"/>
        <v>1.6000000032363459E-3</v>
      </c>
      <c r="J34">
        <f>+G34</f>
        <v>1.6000000032363459E-3</v>
      </c>
      <c r="O34">
        <f t="shared" ca="1" si="2"/>
        <v>7.7792553756308221E-4</v>
      </c>
      <c r="Q34" s="2">
        <f t="shared" si="3"/>
        <v>40460.8606</v>
      </c>
      <c r="U34" s="52"/>
    </row>
    <row r="35" spans="1:21" x14ac:dyDescent="0.2">
      <c r="A35" s="19" t="s">
        <v>116</v>
      </c>
      <c r="B35" s="3" t="s">
        <v>42</v>
      </c>
      <c r="C35" s="9">
        <v>55483.290999999997</v>
      </c>
      <c r="D35" s="9" t="s">
        <v>55</v>
      </c>
      <c r="E35">
        <f t="shared" si="0"/>
        <v>2554.500297578169</v>
      </c>
      <c r="F35">
        <f t="shared" si="1"/>
        <v>2554.5</v>
      </c>
      <c r="G35">
        <f t="shared" si="4"/>
        <v>2.6000000070780516E-4</v>
      </c>
      <c r="K35">
        <f>+G35</f>
        <v>2.6000000070780516E-4</v>
      </c>
      <c r="O35">
        <f t="shared" ca="1" si="2"/>
        <v>7.8287220738209066E-4</v>
      </c>
      <c r="Q35" s="2">
        <f t="shared" si="3"/>
        <v>40464.790999999997</v>
      </c>
      <c r="U35" s="52"/>
    </row>
    <row r="36" spans="1:21" x14ac:dyDescent="0.2">
      <c r="A36" s="35" t="s">
        <v>41</v>
      </c>
      <c r="B36" s="36" t="s">
        <v>42</v>
      </c>
      <c r="C36" s="35">
        <v>55483.291100000002</v>
      </c>
      <c r="D36" s="35">
        <v>3.5000000000000001E-3</v>
      </c>
      <c r="E36" s="54">
        <f t="shared" si="0"/>
        <v>2554.5004120313174</v>
      </c>
      <c r="F36">
        <f t="shared" si="1"/>
        <v>2554.5</v>
      </c>
      <c r="G36">
        <f t="shared" si="4"/>
        <v>3.6000000545755029E-4</v>
      </c>
      <c r="J36">
        <f>+G36</f>
        <v>3.6000000545755029E-4</v>
      </c>
      <c r="O36">
        <f t="shared" ca="1" si="2"/>
        <v>7.8287220738209066E-4</v>
      </c>
      <c r="Q36" s="2">
        <f t="shared" si="3"/>
        <v>40464.791100000002</v>
      </c>
      <c r="U36" s="52"/>
    </row>
    <row r="37" spans="1:21" x14ac:dyDescent="0.2">
      <c r="A37" s="35" t="s">
        <v>41</v>
      </c>
      <c r="B37" s="36" t="s">
        <v>42</v>
      </c>
      <c r="C37" s="35">
        <v>55689.489000000001</v>
      </c>
      <c r="D37" s="35">
        <v>3.5000000000000001E-3</v>
      </c>
      <c r="E37" s="54">
        <f t="shared" si="0"/>
        <v>2790.5003891406877</v>
      </c>
      <c r="F37">
        <f t="shared" si="1"/>
        <v>2790.5</v>
      </c>
      <c r="G37">
        <f t="shared" si="4"/>
        <v>3.3999999868683517E-4</v>
      </c>
      <c r="J37">
        <f>+G37</f>
        <v>3.3999999868683517E-4</v>
      </c>
      <c r="O37">
        <f t="shared" ca="1" si="2"/>
        <v>1.0422975578900698E-3</v>
      </c>
      <c r="Q37" s="2">
        <f t="shared" si="3"/>
        <v>40670.989000000001</v>
      </c>
      <c r="U37" s="52"/>
    </row>
    <row r="38" spans="1:21" x14ac:dyDescent="0.2">
      <c r="A38" s="31" t="s">
        <v>43</v>
      </c>
      <c r="B38" s="32" t="s">
        <v>42</v>
      </c>
      <c r="C38" s="33">
        <v>56513.41231</v>
      </c>
      <c r="D38" s="33">
        <v>4.0000000000000002E-4</v>
      </c>
      <c r="E38" s="54">
        <f t="shared" si="0"/>
        <v>3733.5065123838299</v>
      </c>
      <c r="F38">
        <f t="shared" si="1"/>
        <v>3733.5</v>
      </c>
      <c r="G38">
        <f t="shared" si="4"/>
        <v>5.6899999981396832E-3</v>
      </c>
      <c r="K38">
        <f>+G38</f>
        <v>5.6899999981396832E-3</v>
      </c>
      <c r="O38">
        <f t="shared" ca="1" si="2"/>
        <v>2.0788996999622062E-3</v>
      </c>
      <c r="Q38" s="2">
        <f t="shared" si="3"/>
        <v>41494.91231</v>
      </c>
      <c r="U38" s="52"/>
    </row>
    <row r="39" spans="1:21" x14ac:dyDescent="0.2">
      <c r="A39" s="33" t="s">
        <v>143</v>
      </c>
      <c r="B39" s="32"/>
      <c r="C39" s="33">
        <v>57219.375500000002</v>
      </c>
      <c r="D39" s="33">
        <v>1.2999999999999999E-3</v>
      </c>
      <c r="E39" s="54">
        <f t="shared" si="0"/>
        <v>4541.50357093806</v>
      </c>
      <c r="F39">
        <f t="shared" si="1"/>
        <v>4541.5</v>
      </c>
      <c r="G39">
        <f t="shared" si="4"/>
        <v>3.1200000012177043E-3</v>
      </c>
      <c r="K39">
        <f>+G39</f>
        <v>3.1200000012177043E-3</v>
      </c>
      <c r="O39">
        <f t="shared" ca="1" si="2"/>
        <v>2.9671017474641012E-3</v>
      </c>
      <c r="Q39" s="2">
        <f t="shared" si="3"/>
        <v>42200.875500000002</v>
      </c>
      <c r="U39" s="52"/>
    </row>
    <row r="40" spans="1:21" x14ac:dyDescent="0.2">
      <c r="A40" s="33" t="s">
        <v>143</v>
      </c>
      <c r="B40" s="32"/>
      <c r="C40" s="33">
        <v>57235.402699999999</v>
      </c>
      <c r="D40" s="33">
        <v>1E-3</v>
      </c>
      <c r="E40" s="54">
        <f t="shared" si="0"/>
        <v>4559.8472050542496</v>
      </c>
      <c r="F40">
        <f t="shared" si="1"/>
        <v>4560</v>
      </c>
      <c r="O40">
        <f t="shared" ca="1" si="2"/>
        <v>2.9874380567200235E-3</v>
      </c>
      <c r="Q40" s="2">
        <f t="shared" si="3"/>
        <v>42216.902699999999</v>
      </c>
      <c r="U40" s="52">
        <f>+C40-(C$7+F40*C$8)</f>
        <v>-0.13350000000355067</v>
      </c>
    </row>
    <row r="41" spans="1:21" x14ac:dyDescent="0.2">
      <c r="A41" s="55" t="s">
        <v>1</v>
      </c>
      <c r="B41" s="56" t="s">
        <v>42</v>
      </c>
      <c r="C41" s="57">
        <v>57564.4908</v>
      </c>
      <c r="D41" s="57">
        <v>2.3E-3</v>
      </c>
      <c r="E41" s="54">
        <f>+(C41-C$7)/C$8</f>
        <v>4936.4988783591998</v>
      </c>
      <c r="F41">
        <f t="shared" si="1"/>
        <v>4936.5</v>
      </c>
      <c r="G41">
        <f>+C41-(C$7+F41*C$8)</f>
        <v>-9.799999970709905E-4</v>
      </c>
      <c r="K41">
        <f>+G41</f>
        <v>-9.799999970709905E-4</v>
      </c>
      <c r="O41">
        <f ca="1">+C$11+C$12*$F41</f>
        <v>3.4013094315770323E-3</v>
      </c>
      <c r="Q41" s="2">
        <f>+C41-15018.5</f>
        <v>42545.9908</v>
      </c>
      <c r="U41" s="52"/>
    </row>
    <row r="42" spans="1:21" x14ac:dyDescent="0.2">
      <c r="A42" s="58" t="s">
        <v>0</v>
      </c>
      <c r="B42" s="59" t="s">
        <v>42</v>
      </c>
      <c r="C42" s="60">
        <v>57952.426299999999</v>
      </c>
      <c r="D42" s="60">
        <v>5.9999999999999995E-4</v>
      </c>
      <c r="E42" s="54">
        <f>+(C42-C$7)/C$8</f>
        <v>5380.5032504692572</v>
      </c>
      <c r="F42">
        <f t="shared" si="1"/>
        <v>5380.5</v>
      </c>
      <c r="G42">
        <f>+C42-(C$7+F42*C$8)</f>
        <v>2.8400000010151416E-3</v>
      </c>
      <c r="K42">
        <f>+G42</f>
        <v>2.8400000010151416E-3</v>
      </c>
      <c r="O42">
        <f ca="1">+C$11+C$12*$F42</f>
        <v>3.8893808537191631E-3</v>
      </c>
      <c r="Q42" s="2">
        <f>+C42-15018.5</f>
        <v>42933.926299999999</v>
      </c>
      <c r="U42" s="52"/>
    </row>
    <row r="43" spans="1:21" x14ac:dyDescent="0.2">
      <c r="A43" s="54"/>
      <c r="B43" s="54"/>
      <c r="C43" s="54"/>
      <c r="D43" s="32"/>
      <c r="E43" s="54"/>
      <c r="U43" s="52"/>
    </row>
    <row r="44" spans="1:21" x14ac:dyDescent="0.2">
      <c r="D44" s="3"/>
      <c r="U44" s="52"/>
    </row>
    <row r="45" spans="1:21" x14ac:dyDescent="0.2">
      <c r="D45" s="3"/>
      <c r="U45" s="52"/>
    </row>
    <row r="46" spans="1:21" x14ac:dyDescent="0.2">
      <c r="D46" s="3"/>
    </row>
    <row r="47" spans="1:21" x14ac:dyDescent="0.2">
      <c r="D47" s="3"/>
    </row>
    <row r="48" spans="1:21" x14ac:dyDescent="0.2">
      <c r="D48" s="3"/>
    </row>
    <row r="49" spans="4:4" x14ac:dyDescent="0.2">
      <c r="D49" s="3"/>
    </row>
    <row r="50" spans="4:4" x14ac:dyDescent="0.2">
      <c r="D50" s="3"/>
    </row>
  </sheetData>
  <phoneticPr fontId="8" type="noConversion"/>
  <hyperlinks>
    <hyperlink ref="H3378" r:id="rId1" display="http://vsolj.cetus-net.org/bulletin.html"/>
    <hyperlink ref="H64841" r:id="rId2" display="http://vsolj.cetus-net.org/bulletin.html"/>
    <hyperlink ref="H64834" r:id="rId3" display="https://www.aavso.org/ejaavso"/>
    <hyperlink ref="AP1692" r:id="rId4" display="http://cdsbib.u-strasbg.fr/cgi-bin/cdsbib?1990RMxAA..21..381G"/>
    <hyperlink ref="AP1689" r:id="rId5" display="http://cdsbib.u-strasbg.fr/cgi-bin/cdsbib?1990RMxAA..21..381G"/>
    <hyperlink ref="AP1691" r:id="rId6" display="http://cdsbib.u-strasbg.fr/cgi-bin/cdsbib?1990RMxAA..21..381G"/>
    <hyperlink ref="AP1667" r:id="rId7" display="http://cdsbib.u-strasbg.fr/cgi-bin/cdsbib?1990RMxAA..21..381G"/>
    <hyperlink ref="I64841" r:id="rId8" display="http://vsolj.cetus-net.org/bulletin.html"/>
    <hyperlink ref="AQ1828" r:id="rId9" display="http://cdsbib.u-strasbg.fr/cgi-bin/cdsbib?1990RMxAA..21..381G"/>
    <hyperlink ref="AQ3472" r:id="rId10" display="http://cdsbib.u-strasbg.fr/cgi-bin/cdsbib?1990RMxAA..21..381G"/>
    <hyperlink ref="AQ1829" r:id="rId11" display="http://cdsbib.u-strasbg.fr/cgi-bin/cdsbib?1990RMxAA..21..381G"/>
    <hyperlink ref="H64838" r:id="rId12" display="https://www.aavso.org/ejaavso"/>
    <hyperlink ref="H2679" r:id="rId13" display="http://vsolj.cetus-net.org/bulletin.html"/>
    <hyperlink ref="AP5917" r:id="rId14" display="http://cdsbib.u-strasbg.fr/cgi-bin/cdsbib?1990RMxAA..21..381G"/>
    <hyperlink ref="AP5920" r:id="rId15" display="http://cdsbib.u-strasbg.fr/cgi-bin/cdsbib?1990RMxAA..21..381G"/>
    <hyperlink ref="AP5918" r:id="rId16" display="http://cdsbib.u-strasbg.fr/cgi-bin/cdsbib?1990RMxAA..21..381G"/>
    <hyperlink ref="AP5896" r:id="rId17" display="http://cdsbib.u-strasbg.fr/cgi-bin/cdsbib?1990RMxAA..21..381G"/>
    <hyperlink ref="I2679" r:id="rId18" display="http://vsolj.cetus-net.org/bulletin.html"/>
    <hyperlink ref="AQ6030" r:id="rId19" display="http://cdsbib.u-strasbg.fr/cgi-bin/cdsbib?1990RMxAA..21..381G"/>
    <hyperlink ref="AQ582" r:id="rId20" display="http://cdsbib.u-strasbg.fr/cgi-bin/cdsbib?1990RMxAA..21..381G"/>
    <hyperlink ref="AQ6031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1"/>
  <sheetViews>
    <sheetView workbookViewId="0">
      <selection activeCell="A20" sqref="A20:D29"/>
    </sheetView>
  </sheetViews>
  <sheetFormatPr defaultRowHeight="12.75" x14ac:dyDescent="0.2"/>
  <cols>
    <col min="1" max="1" width="19.7109375" style="9" customWidth="1"/>
    <col min="2" max="2" width="4.42578125" style="13" customWidth="1"/>
    <col min="3" max="3" width="12.7109375" style="9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9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9" t="s">
        <v>45</v>
      </c>
      <c r="I1" s="40" t="s">
        <v>46</v>
      </c>
      <c r="J1" s="41" t="s">
        <v>47</v>
      </c>
    </row>
    <row r="2" spans="1:16" x14ac:dyDescent="0.2">
      <c r="I2" s="42" t="s">
        <v>48</v>
      </c>
      <c r="J2" s="43" t="s">
        <v>49</v>
      </c>
    </row>
    <row r="3" spans="1:16" x14ac:dyDescent="0.2">
      <c r="A3" s="44" t="s">
        <v>50</v>
      </c>
      <c r="I3" s="42" t="s">
        <v>51</v>
      </c>
      <c r="J3" s="43" t="s">
        <v>52</v>
      </c>
    </row>
    <row r="4" spans="1:16" x14ac:dyDescent="0.2">
      <c r="I4" s="42" t="s">
        <v>53</v>
      </c>
      <c r="J4" s="43" t="s">
        <v>52</v>
      </c>
    </row>
    <row r="5" spans="1:16" ht="13.5" thickBot="1" x14ac:dyDescent="0.25">
      <c r="I5" s="45" t="s">
        <v>54</v>
      </c>
      <c r="J5" s="46" t="s">
        <v>55</v>
      </c>
    </row>
    <row r="10" spans="1:16" ht="13.5" thickBot="1" x14ac:dyDescent="0.25"/>
    <row r="11" spans="1:16" ht="12.75" customHeight="1" thickBot="1" x14ac:dyDescent="0.25">
      <c r="A11" s="9" t="str">
        <f t="shared" ref="A11:A29" si="0">P11</f>
        <v>BAVM 173 </v>
      </c>
      <c r="B11" s="3" t="str">
        <f t="shared" ref="B11:B29" si="1">IF(H11=INT(H11),"I","II")</f>
        <v>II</v>
      </c>
      <c r="C11" s="9">
        <f t="shared" ref="C11:C29" si="2">1*G11</f>
        <v>53251.373</v>
      </c>
      <c r="D11" s="13" t="str">
        <f t="shared" ref="D11:D29" si="3">VLOOKUP(F11,I$1:J$5,2,FALSE)</f>
        <v>vis</v>
      </c>
      <c r="E11" s="47">
        <f>VLOOKUP(C11,Active!C$21:E$972,3,FALSE)</f>
        <v>0</v>
      </c>
      <c r="F11" s="3" t="s">
        <v>54</v>
      </c>
      <c r="G11" s="13" t="str">
        <f t="shared" ref="G11:G29" si="4">MID(I11,3,LEN(I11)-3)</f>
        <v>53251.3730</v>
      </c>
      <c r="H11" s="9">
        <f t="shared" ref="H11:H29" si="5">1*K11</f>
        <v>498.5</v>
      </c>
      <c r="I11" s="48" t="s">
        <v>80</v>
      </c>
      <c r="J11" s="49" t="s">
        <v>81</v>
      </c>
      <c r="K11" s="48">
        <v>498.5</v>
      </c>
      <c r="L11" s="48" t="s">
        <v>82</v>
      </c>
      <c r="M11" s="49" t="s">
        <v>59</v>
      </c>
      <c r="N11" s="49" t="s">
        <v>83</v>
      </c>
      <c r="O11" s="50" t="s">
        <v>84</v>
      </c>
      <c r="P11" s="51" t="s">
        <v>85</v>
      </c>
    </row>
    <row r="12" spans="1:16" ht="12.75" customHeight="1" thickBot="1" x14ac:dyDescent="0.25">
      <c r="A12" s="9" t="str">
        <f t="shared" si="0"/>
        <v>BAVM 173 </v>
      </c>
      <c r="B12" s="3" t="str">
        <f t="shared" si="1"/>
        <v>I</v>
      </c>
      <c r="C12" s="9">
        <f t="shared" si="2"/>
        <v>53255.302000000003</v>
      </c>
      <c r="D12" s="13" t="str">
        <f t="shared" si="3"/>
        <v>vis</v>
      </c>
      <c r="E12" s="47">
        <f>VLOOKUP(C12,Active!C$21:E$972,3,FALSE)</f>
        <v>4.496863983889261</v>
      </c>
      <c r="F12" s="3" t="s">
        <v>54</v>
      </c>
      <c r="G12" s="13" t="str">
        <f t="shared" si="4"/>
        <v>53255.3020</v>
      </c>
      <c r="H12" s="9">
        <f t="shared" si="5"/>
        <v>503</v>
      </c>
      <c r="I12" s="48" t="s">
        <v>86</v>
      </c>
      <c r="J12" s="49" t="s">
        <v>87</v>
      </c>
      <c r="K12" s="48">
        <v>503</v>
      </c>
      <c r="L12" s="48" t="s">
        <v>88</v>
      </c>
      <c r="M12" s="49" t="s">
        <v>59</v>
      </c>
      <c r="N12" s="49" t="s">
        <v>83</v>
      </c>
      <c r="O12" s="50" t="s">
        <v>84</v>
      </c>
      <c r="P12" s="51" t="s">
        <v>85</v>
      </c>
    </row>
    <row r="13" spans="1:16" ht="12.75" customHeight="1" thickBot="1" x14ac:dyDescent="0.25">
      <c r="A13" s="9" t="str">
        <f t="shared" si="0"/>
        <v>BAVM 178 </v>
      </c>
      <c r="B13" s="3" t="str">
        <f t="shared" si="1"/>
        <v>I</v>
      </c>
      <c r="C13" s="9">
        <f t="shared" si="2"/>
        <v>53621.393300000003</v>
      </c>
      <c r="D13" s="13" t="str">
        <f t="shared" si="3"/>
        <v>vis</v>
      </c>
      <c r="E13" s="47">
        <f>VLOOKUP(C13,Active!C$21:E$972,3,FALSE)</f>
        <v>423.49986265623284</v>
      </c>
      <c r="F13" s="3" t="s">
        <v>54</v>
      </c>
      <c r="G13" s="13" t="str">
        <f t="shared" si="4"/>
        <v>53621.3933</v>
      </c>
      <c r="H13" s="9">
        <f t="shared" si="5"/>
        <v>922</v>
      </c>
      <c r="I13" s="48" t="s">
        <v>89</v>
      </c>
      <c r="J13" s="49" t="s">
        <v>90</v>
      </c>
      <c r="K13" s="48">
        <v>922</v>
      </c>
      <c r="L13" s="48" t="s">
        <v>91</v>
      </c>
      <c r="M13" s="49" t="s">
        <v>92</v>
      </c>
      <c r="N13" s="49" t="s">
        <v>54</v>
      </c>
      <c r="O13" s="50" t="s">
        <v>93</v>
      </c>
      <c r="P13" s="51" t="s">
        <v>94</v>
      </c>
    </row>
    <row r="14" spans="1:16" ht="12.75" customHeight="1" thickBot="1" x14ac:dyDescent="0.25">
      <c r="A14" s="9" t="str">
        <f t="shared" si="0"/>
        <v>BAVM 178 </v>
      </c>
      <c r="B14" s="3" t="str">
        <f t="shared" si="1"/>
        <v>I</v>
      </c>
      <c r="C14" s="9">
        <f t="shared" si="2"/>
        <v>53635.372300000003</v>
      </c>
      <c r="D14" s="13" t="str">
        <f t="shared" si="3"/>
        <v>vis</v>
      </c>
      <c r="E14" s="47">
        <f>VLOOKUP(C14,Active!C$21:E$972,3,FALSE)</f>
        <v>439.49926749988913</v>
      </c>
      <c r="F14" s="3" t="s">
        <v>54</v>
      </c>
      <c r="G14" s="13" t="str">
        <f t="shared" si="4"/>
        <v>53635.3723</v>
      </c>
      <c r="H14" s="9">
        <f t="shared" si="5"/>
        <v>938</v>
      </c>
      <c r="I14" s="48" t="s">
        <v>95</v>
      </c>
      <c r="J14" s="49" t="s">
        <v>96</v>
      </c>
      <c r="K14" s="48">
        <v>938</v>
      </c>
      <c r="L14" s="48" t="s">
        <v>97</v>
      </c>
      <c r="M14" s="49" t="s">
        <v>92</v>
      </c>
      <c r="N14" s="49" t="s">
        <v>54</v>
      </c>
      <c r="O14" s="50" t="s">
        <v>93</v>
      </c>
      <c r="P14" s="51" t="s">
        <v>94</v>
      </c>
    </row>
    <row r="15" spans="1:16" ht="12.75" customHeight="1" thickBot="1" x14ac:dyDescent="0.25">
      <c r="A15" s="9" t="str">
        <f t="shared" si="0"/>
        <v>BAVM 178 </v>
      </c>
      <c r="B15" s="3" t="str">
        <f t="shared" si="1"/>
        <v>II</v>
      </c>
      <c r="C15" s="9">
        <f t="shared" si="2"/>
        <v>53653.2834</v>
      </c>
      <c r="D15" s="13" t="str">
        <f t="shared" si="3"/>
        <v>vis</v>
      </c>
      <c r="E15" s="47">
        <f>VLOOKUP(C15,Active!C$21:E$972,3,FALSE)</f>
        <v>459.99908437485766</v>
      </c>
      <c r="F15" s="3" t="s">
        <v>54</v>
      </c>
      <c r="G15" s="13" t="str">
        <f t="shared" si="4"/>
        <v>53653.2834</v>
      </c>
      <c r="H15" s="9">
        <f t="shared" si="5"/>
        <v>958.5</v>
      </c>
      <c r="I15" s="48" t="s">
        <v>98</v>
      </c>
      <c r="J15" s="49" t="s">
        <v>99</v>
      </c>
      <c r="K15" s="48">
        <v>958.5</v>
      </c>
      <c r="L15" s="48" t="s">
        <v>100</v>
      </c>
      <c r="M15" s="49" t="s">
        <v>92</v>
      </c>
      <c r="N15" s="49" t="s">
        <v>54</v>
      </c>
      <c r="O15" s="50" t="s">
        <v>93</v>
      </c>
      <c r="P15" s="51" t="s">
        <v>94</v>
      </c>
    </row>
    <row r="16" spans="1:16" ht="12.75" customHeight="1" thickBot="1" x14ac:dyDescent="0.25">
      <c r="A16" s="9" t="str">
        <f t="shared" si="0"/>
        <v>BAVM 178 </v>
      </c>
      <c r="B16" s="3" t="str">
        <f t="shared" si="1"/>
        <v>I</v>
      </c>
      <c r="C16" s="9">
        <f t="shared" si="2"/>
        <v>53918.457900000001</v>
      </c>
      <c r="D16" s="13" t="str">
        <f t="shared" si="3"/>
        <v>vis</v>
      </c>
      <c r="E16" s="47">
        <f>VLOOKUP(C16,Active!C$21:E$972,3,FALSE)</f>
        <v>763.49963374994456</v>
      </c>
      <c r="F16" s="3" t="s">
        <v>54</v>
      </c>
      <c r="G16" s="13" t="str">
        <f t="shared" si="4"/>
        <v>53918.4579</v>
      </c>
      <c r="H16" s="9">
        <f t="shared" si="5"/>
        <v>1262</v>
      </c>
      <c r="I16" s="48" t="s">
        <v>101</v>
      </c>
      <c r="J16" s="49" t="s">
        <v>102</v>
      </c>
      <c r="K16" s="48">
        <v>1262</v>
      </c>
      <c r="L16" s="48" t="s">
        <v>103</v>
      </c>
      <c r="M16" s="49" t="s">
        <v>92</v>
      </c>
      <c r="N16" s="49" t="s">
        <v>54</v>
      </c>
      <c r="O16" s="50" t="s">
        <v>93</v>
      </c>
      <c r="P16" s="51" t="s">
        <v>94</v>
      </c>
    </row>
    <row r="17" spans="1:16" ht="12.75" customHeight="1" thickBot="1" x14ac:dyDescent="0.25">
      <c r="A17" s="9" t="str">
        <f t="shared" si="0"/>
        <v>BAVM 215 </v>
      </c>
      <c r="B17" s="3" t="str">
        <f t="shared" si="1"/>
        <v>II</v>
      </c>
      <c r="C17" s="9">
        <f t="shared" si="2"/>
        <v>55444.411099999998</v>
      </c>
      <c r="D17" s="13" t="str">
        <f t="shared" si="3"/>
        <v>vis</v>
      </c>
      <c r="E17" s="47">
        <f>VLOOKUP(C17,Active!C$21:E$972,3,FALSE)</f>
        <v>2510.0010300782833</v>
      </c>
      <c r="F17" s="3" t="s">
        <v>54</v>
      </c>
      <c r="G17" s="13" t="str">
        <f t="shared" si="4"/>
        <v>55444.4111</v>
      </c>
      <c r="H17" s="9">
        <f t="shared" si="5"/>
        <v>3008.5</v>
      </c>
      <c r="I17" s="48" t="s">
        <v>108</v>
      </c>
      <c r="J17" s="49" t="s">
        <v>109</v>
      </c>
      <c r="K17" s="48">
        <v>3008.5</v>
      </c>
      <c r="L17" s="48" t="s">
        <v>110</v>
      </c>
      <c r="M17" s="49" t="s">
        <v>92</v>
      </c>
      <c r="N17" s="49" t="s">
        <v>54</v>
      </c>
      <c r="O17" s="50" t="s">
        <v>111</v>
      </c>
      <c r="P17" s="51" t="s">
        <v>112</v>
      </c>
    </row>
    <row r="18" spans="1:16" ht="12.75" customHeight="1" thickBot="1" x14ac:dyDescent="0.25">
      <c r="A18" s="9" t="str">
        <f t="shared" si="0"/>
        <v>BAVM 220 </v>
      </c>
      <c r="B18" s="3" t="str">
        <f t="shared" si="1"/>
        <v>I</v>
      </c>
      <c r="C18" s="9">
        <f t="shared" si="2"/>
        <v>55689.489000000001</v>
      </c>
      <c r="D18" s="13" t="str">
        <f t="shared" si="3"/>
        <v>vis</v>
      </c>
      <c r="E18" s="47">
        <f>VLOOKUP(C18,Active!C$21:E$972,3,FALSE)</f>
        <v>2790.5003891406877</v>
      </c>
      <c r="F18" s="3" t="s">
        <v>54</v>
      </c>
      <c r="G18" s="13" t="str">
        <f t="shared" si="4"/>
        <v>55689.4890</v>
      </c>
      <c r="H18" s="9">
        <f t="shared" si="5"/>
        <v>3289</v>
      </c>
      <c r="I18" s="48" t="s">
        <v>119</v>
      </c>
      <c r="J18" s="49" t="s">
        <v>120</v>
      </c>
      <c r="K18" s="48">
        <v>3289</v>
      </c>
      <c r="L18" s="48" t="s">
        <v>121</v>
      </c>
      <c r="M18" s="49" t="s">
        <v>92</v>
      </c>
      <c r="N18" s="49" t="s">
        <v>54</v>
      </c>
      <c r="O18" s="50" t="s">
        <v>111</v>
      </c>
      <c r="P18" s="51" t="s">
        <v>116</v>
      </c>
    </row>
    <row r="19" spans="1:16" ht="12.75" customHeight="1" thickBot="1" x14ac:dyDescent="0.25">
      <c r="A19" s="9" t="str">
        <f t="shared" si="0"/>
        <v>OEJV 0160 </v>
      </c>
      <c r="B19" s="3" t="str">
        <f t="shared" si="1"/>
        <v>I</v>
      </c>
      <c r="C19" s="9">
        <f t="shared" si="2"/>
        <v>56513.41231</v>
      </c>
      <c r="D19" s="13" t="str">
        <f t="shared" si="3"/>
        <v>vis</v>
      </c>
      <c r="E19" s="47">
        <f>VLOOKUP(C19,Active!C$21:E$972,3,FALSE)</f>
        <v>3733.5065123838299</v>
      </c>
      <c r="F19" s="3" t="s">
        <v>54</v>
      </c>
      <c r="G19" s="13" t="str">
        <f t="shared" si="4"/>
        <v>56513.41231</v>
      </c>
      <c r="H19" s="9">
        <f t="shared" si="5"/>
        <v>4232</v>
      </c>
      <c r="I19" s="48" t="s">
        <v>122</v>
      </c>
      <c r="J19" s="49" t="s">
        <v>123</v>
      </c>
      <c r="K19" s="48">
        <v>4232</v>
      </c>
      <c r="L19" s="48" t="s">
        <v>124</v>
      </c>
      <c r="M19" s="49" t="s">
        <v>92</v>
      </c>
      <c r="N19" s="49" t="s">
        <v>46</v>
      </c>
      <c r="O19" s="50" t="s">
        <v>125</v>
      </c>
      <c r="P19" s="51" t="s">
        <v>126</v>
      </c>
    </row>
    <row r="20" spans="1:16" ht="12.75" customHeight="1" thickBot="1" x14ac:dyDescent="0.25">
      <c r="A20" s="9" t="str">
        <f t="shared" si="0"/>
        <v>IBVS 3708 </v>
      </c>
      <c r="B20" s="3" t="str">
        <f t="shared" si="1"/>
        <v>I</v>
      </c>
      <c r="C20" s="9">
        <f t="shared" si="2"/>
        <v>48533.7114</v>
      </c>
      <c r="D20" s="13" t="str">
        <f t="shared" si="3"/>
        <v>vis</v>
      </c>
      <c r="E20" s="47">
        <f>VLOOKUP(C20,Active!C$21:E$972,3,FALSE)</f>
        <v>-5399.5119717987445</v>
      </c>
      <c r="F20" s="3" t="s">
        <v>54</v>
      </c>
      <c r="G20" s="13" t="str">
        <f t="shared" si="4"/>
        <v>48533.7114</v>
      </c>
      <c r="H20" s="9">
        <f t="shared" si="5"/>
        <v>-4902</v>
      </c>
      <c r="I20" s="48" t="s">
        <v>56</v>
      </c>
      <c r="J20" s="49" t="s">
        <v>57</v>
      </c>
      <c r="K20" s="48">
        <v>-4902</v>
      </c>
      <c r="L20" s="48" t="s">
        <v>58</v>
      </c>
      <c r="M20" s="49" t="s">
        <v>59</v>
      </c>
      <c r="N20" s="49" t="s">
        <v>60</v>
      </c>
      <c r="O20" s="50" t="s">
        <v>61</v>
      </c>
      <c r="P20" s="51" t="s">
        <v>62</v>
      </c>
    </row>
    <row r="21" spans="1:16" ht="12.75" customHeight="1" thickBot="1" x14ac:dyDescent="0.25">
      <c r="A21" s="9" t="str">
        <f t="shared" si="0"/>
        <v>BAVM 143 </v>
      </c>
      <c r="B21" s="3" t="str">
        <f t="shared" si="1"/>
        <v>II</v>
      </c>
      <c r="C21" s="9">
        <f t="shared" si="2"/>
        <v>51703.453999999998</v>
      </c>
      <c r="D21" s="13" t="str">
        <f t="shared" si="3"/>
        <v>vis</v>
      </c>
      <c r="E21" s="47">
        <f>VLOOKUP(C21,Active!C$21:E$972,3,FALSE)</f>
        <v>-1771.6419447878056</v>
      </c>
      <c r="F21" s="3" t="s">
        <v>54</v>
      </c>
      <c r="G21" s="13" t="str">
        <f t="shared" si="4"/>
        <v>51703.454</v>
      </c>
      <c r="H21" s="9">
        <f t="shared" si="5"/>
        <v>-1273.5</v>
      </c>
      <c r="I21" s="48" t="s">
        <v>63</v>
      </c>
      <c r="J21" s="49" t="s">
        <v>64</v>
      </c>
      <c r="K21" s="48">
        <v>-1273.5</v>
      </c>
      <c r="L21" s="48" t="s">
        <v>65</v>
      </c>
      <c r="M21" s="49" t="s">
        <v>66</v>
      </c>
      <c r="N21" s="49"/>
      <c r="O21" s="50" t="s">
        <v>67</v>
      </c>
      <c r="P21" s="51" t="s">
        <v>68</v>
      </c>
    </row>
    <row r="22" spans="1:16" ht="12.75" customHeight="1" thickBot="1" x14ac:dyDescent="0.25">
      <c r="A22" s="9" t="str">
        <f t="shared" si="0"/>
        <v>BAVM 143 </v>
      </c>
      <c r="B22" s="3" t="str">
        <f t="shared" si="1"/>
        <v>II</v>
      </c>
      <c r="C22" s="9">
        <f t="shared" si="2"/>
        <v>52055.457000000002</v>
      </c>
      <c r="D22" s="13" t="str">
        <f t="shared" si="3"/>
        <v>vis</v>
      </c>
      <c r="E22" s="47">
        <f>VLOOKUP(C22,Active!C$21:E$972,3,FALSE)</f>
        <v>-1368.7634482442859</v>
      </c>
      <c r="F22" s="3" t="s">
        <v>54</v>
      </c>
      <c r="G22" s="13" t="str">
        <f t="shared" si="4"/>
        <v>52055.457</v>
      </c>
      <c r="H22" s="9">
        <f t="shared" si="5"/>
        <v>-870.5</v>
      </c>
      <c r="I22" s="48" t="s">
        <v>69</v>
      </c>
      <c r="J22" s="49" t="s">
        <v>70</v>
      </c>
      <c r="K22" s="48">
        <v>-870.5</v>
      </c>
      <c r="L22" s="48" t="s">
        <v>71</v>
      </c>
      <c r="M22" s="49" t="s">
        <v>66</v>
      </c>
      <c r="N22" s="49"/>
      <c r="O22" s="50" t="s">
        <v>67</v>
      </c>
      <c r="P22" s="51" t="s">
        <v>68</v>
      </c>
    </row>
    <row r="23" spans="1:16" ht="12.75" customHeight="1" thickBot="1" x14ac:dyDescent="0.25">
      <c r="A23" s="9" t="str">
        <f t="shared" si="0"/>
        <v>BAVM 154 </v>
      </c>
      <c r="B23" s="3" t="str">
        <f t="shared" si="1"/>
        <v>I</v>
      </c>
      <c r="C23" s="9">
        <f t="shared" si="2"/>
        <v>52085.476000000002</v>
      </c>
      <c r="D23" s="13" t="str">
        <f t="shared" si="3"/>
        <v>vis</v>
      </c>
      <c r="E23" s="47">
        <f>VLOOKUP(C23,Active!C$21:E$972,3,FALSE)</f>
        <v>-1334.4057592821466</v>
      </c>
      <c r="F23" s="3" t="s">
        <v>54</v>
      </c>
      <c r="G23" s="13" t="str">
        <f t="shared" si="4"/>
        <v>52085.476</v>
      </c>
      <c r="H23" s="9">
        <f t="shared" si="5"/>
        <v>-836</v>
      </c>
      <c r="I23" s="48" t="s">
        <v>72</v>
      </c>
      <c r="J23" s="49" t="s">
        <v>73</v>
      </c>
      <c r="K23" s="48">
        <v>-836</v>
      </c>
      <c r="L23" s="48" t="s">
        <v>74</v>
      </c>
      <c r="M23" s="49" t="s">
        <v>66</v>
      </c>
      <c r="N23" s="49"/>
      <c r="O23" s="50" t="s">
        <v>67</v>
      </c>
      <c r="P23" s="51" t="s">
        <v>75</v>
      </c>
    </row>
    <row r="24" spans="1:16" ht="12.75" customHeight="1" thickBot="1" x14ac:dyDescent="0.25">
      <c r="A24" s="9" t="str">
        <f t="shared" si="0"/>
        <v>BAVM 157 </v>
      </c>
      <c r="B24" s="3" t="str">
        <f t="shared" si="1"/>
        <v>II</v>
      </c>
      <c r="C24" s="9">
        <f t="shared" si="2"/>
        <v>52442.476000000002</v>
      </c>
      <c r="D24" s="13" t="str">
        <f t="shared" si="3"/>
        <v>vis</v>
      </c>
      <c r="E24" s="47">
        <f>VLOOKUP(C24,Active!C$21:E$972,3,FALSE)</f>
        <v>-925.8080391887529</v>
      </c>
      <c r="F24" s="3" t="s">
        <v>54</v>
      </c>
      <c r="G24" s="13" t="str">
        <f t="shared" si="4"/>
        <v>52442.476</v>
      </c>
      <c r="H24" s="9">
        <f t="shared" si="5"/>
        <v>-427.5</v>
      </c>
      <c r="I24" s="48" t="s">
        <v>76</v>
      </c>
      <c r="J24" s="49" t="s">
        <v>77</v>
      </c>
      <c r="K24" s="48">
        <v>-427.5</v>
      </c>
      <c r="L24" s="48" t="s">
        <v>78</v>
      </c>
      <c r="M24" s="49" t="s">
        <v>66</v>
      </c>
      <c r="N24" s="49"/>
      <c r="O24" s="50" t="s">
        <v>67</v>
      </c>
      <c r="P24" s="51" t="s">
        <v>79</v>
      </c>
    </row>
    <row r="25" spans="1:16" ht="12.75" customHeight="1" thickBot="1" x14ac:dyDescent="0.25">
      <c r="A25" s="9" t="str">
        <f t="shared" si="0"/>
        <v>BAVM 193 </v>
      </c>
      <c r="B25" s="3" t="str">
        <f t="shared" si="1"/>
        <v>I</v>
      </c>
      <c r="C25" s="9">
        <f t="shared" si="2"/>
        <v>54389.3923</v>
      </c>
      <c r="D25" s="13" t="str">
        <f t="shared" si="3"/>
        <v>vis</v>
      </c>
      <c r="E25" s="47">
        <f>VLOOKUP(C25,Active!C$21:E$972,3,FALSE)</f>
        <v>1302.498855468571</v>
      </c>
      <c r="F25" s="3" t="s">
        <v>54</v>
      </c>
      <c r="G25" s="13" t="str">
        <f t="shared" si="4"/>
        <v>54389.3923</v>
      </c>
      <c r="H25" s="9">
        <f t="shared" si="5"/>
        <v>1801</v>
      </c>
      <c r="I25" s="48" t="s">
        <v>104</v>
      </c>
      <c r="J25" s="49" t="s">
        <v>105</v>
      </c>
      <c r="K25" s="48">
        <v>1801</v>
      </c>
      <c r="L25" s="48" t="s">
        <v>106</v>
      </c>
      <c r="M25" s="49" t="s">
        <v>92</v>
      </c>
      <c r="N25" s="49" t="s">
        <v>54</v>
      </c>
      <c r="O25" s="50" t="s">
        <v>93</v>
      </c>
      <c r="P25" s="51" t="s">
        <v>107</v>
      </c>
    </row>
    <row r="26" spans="1:16" ht="12.75" customHeight="1" thickBot="1" x14ac:dyDescent="0.25">
      <c r="A26" s="9" t="str">
        <f t="shared" si="0"/>
        <v>BAVM 220 </v>
      </c>
      <c r="B26" s="3" t="str">
        <f t="shared" si="1"/>
        <v>II</v>
      </c>
      <c r="C26" s="9">
        <f t="shared" si="2"/>
        <v>55479.360500000003</v>
      </c>
      <c r="D26" s="13" t="str">
        <f t="shared" si="3"/>
        <v>vis</v>
      </c>
      <c r="E26" s="47" t="e">
        <f>VLOOKUP(C26,Active!C$21:E$972,3,FALSE)</f>
        <v>#N/A</v>
      </c>
      <c r="F26" s="3" t="s">
        <v>54</v>
      </c>
      <c r="G26" s="13" t="str">
        <f t="shared" si="4"/>
        <v>55479.3605</v>
      </c>
      <c r="H26" s="9">
        <f t="shared" si="5"/>
        <v>3048.5</v>
      </c>
      <c r="I26" s="48" t="s">
        <v>113</v>
      </c>
      <c r="J26" s="49" t="s">
        <v>114</v>
      </c>
      <c r="K26" s="48">
        <v>3048.5</v>
      </c>
      <c r="L26" s="48" t="s">
        <v>115</v>
      </c>
      <c r="M26" s="49" t="s">
        <v>92</v>
      </c>
      <c r="N26" s="49" t="s">
        <v>54</v>
      </c>
      <c r="O26" s="50" t="s">
        <v>111</v>
      </c>
      <c r="P26" s="51" t="s">
        <v>116</v>
      </c>
    </row>
    <row r="27" spans="1:16" ht="12.75" customHeight="1" thickBot="1" x14ac:dyDescent="0.25">
      <c r="A27" s="9" t="str">
        <f t="shared" si="0"/>
        <v>BAVM 220 </v>
      </c>
      <c r="B27" s="3" t="str">
        <f t="shared" si="1"/>
        <v>I</v>
      </c>
      <c r="C27" s="9">
        <f t="shared" si="2"/>
        <v>55483.290999999997</v>
      </c>
      <c r="D27" s="13" t="str">
        <f t="shared" si="3"/>
        <v>vis</v>
      </c>
      <c r="E27" s="47">
        <f>VLOOKUP(C27,Active!C$21:E$972,3,FALSE)</f>
        <v>2554.500297578169</v>
      </c>
      <c r="F27" s="3" t="s">
        <v>54</v>
      </c>
      <c r="G27" s="13" t="str">
        <f t="shared" si="4"/>
        <v>55483.2910</v>
      </c>
      <c r="H27" s="9">
        <f t="shared" si="5"/>
        <v>3053</v>
      </c>
      <c r="I27" s="48" t="s">
        <v>117</v>
      </c>
      <c r="J27" s="49" t="s">
        <v>118</v>
      </c>
      <c r="K27" s="48">
        <v>3053</v>
      </c>
      <c r="L27" s="48" t="s">
        <v>88</v>
      </c>
      <c r="M27" s="49" t="s">
        <v>92</v>
      </c>
      <c r="N27" s="49" t="s">
        <v>54</v>
      </c>
      <c r="O27" s="50" t="s">
        <v>111</v>
      </c>
      <c r="P27" s="51" t="s">
        <v>116</v>
      </c>
    </row>
    <row r="28" spans="1:16" ht="12.75" customHeight="1" thickBot="1" x14ac:dyDescent="0.25">
      <c r="A28" s="9" t="str">
        <f t="shared" si="0"/>
        <v>BAVM 241 (=IBVS 6157) </v>
      </c>
      <c r="B28" s="3" t="str">
        <f t="shared" si="1"/>
        <v>I</v>
      </c>
      <c r="C28" s="9">
        <f t="shared" si="2"/>
        <v>57219.375500000002</v>
      </c>
      <c r="D28" s="13" t="str">
        <f t="shared" si="3"/>
        <v>vis</v>
      </c>
      <c r="E28" s="47">
        <f>VLOOKUP(C28,Active!C$21:E$972,3,FALSE)</f>
        <v>4541.50357093806</v>
      </c>
      <c r="F28" s="3" t="s">
        <v>54</v>
      </c>
      <c r="G28" s="13" t="str">
        <f t="shared" si="4"/>
        <v>57219.3755</v>
      </c>
      <c r="H28" s="9">
        <f t="shared" si="5"/>
        <v>5040</v>
      </c>
      <c r="I28" s="48" t="s">
        <v>127</v>
      </c>
      <c r="J28" s="49" t="s">
        <v>128</v>
      </c>
      <c r="K28" s="48">
        <v>5040</v>
      </c>
      <c r="L28" s="48" t="s">
        <v>129</v>
      </c>
      <c r="M28" s="49" t="s">
        <v>92</v>
      </c>
      <c r="N28" s="49" t="s">
        <v>130</v>
      </c>
      <c r="O28" s="50" t="s">
        <v>131</v>
      </c>
      <c r="P28" s="51" t="s">
        <v>132</v>
      </c>
    </row>
    <row r="29" spans="1:16" ht="12.75" customHeight="1" thickBot="1" x14ac:dyDescent="0.25">
      <c r="A29" s="9" t="str">
        <f t="shared" si="0"/>
        <v>BAVM 241 (=IBVS 6157) </v>
      </c>
      <c r="B29" s="3" t="str">
        <f t="shared" si="1"/>
        <v>II</v>
      </c>
      <c r="C29" s="9">
        <f t="shared" si="2"/>
        <v>57235.402699999999</v>
      </c>
      <c r="D29" s="13" t="str">
        <f t="shared" si="3"/>
        <v>vis</v>
      </c>
      <c r="E29" s="47">
        <f>VLOOKUP(C29,Active!C$21:E$972,3,FALSE)</f>
        <v>4559.8472050542496</v>
      </c>
      <c r="F29" s="3" t="s">
        <v>54</v>
      </c>
      <c r="G29" s="13" t="str">
        <f t="shared" si="4"/>
        <v>57235.4027</v>
      </c>
      <c r="H29" s="9">
        <f t="shared" si="5"/>
        <v>5058.5</v>
      </c>
      <c r="I29" s="48" t="s">
        <v>133</v>
      </c>
      <c r="J29" s="49" t="s">
        <v>134</v>
      </c>
      <c r="K29" s="48" t="s">
        <v>135</v>
      </c>
      <c r="L29" s="48" t="s">
        <v>136</v>
      </c>
      <c r="M29" s="49" t="s">
        <v>92</v>
      </c>
      <c r="N29" s="49" t="s">
        <v>54</v>
      </c>
      <c r="O29" s="50" t="s">
        <v>137</v>
      </c>
      <c r="P29" s="51" t="s">
        <v>132</v>
      </c>
    </row>
    <row r="30" spans="1:16" x14ac:dyDescent="0.2">
      <c r="B30" s="3"/>
      <c r="E30" s="47"/>
      <c r="F30" s="3"/>
    </row>
    <row r="31" spans="1:16" x14ac:dyDescent="0.2">
      <c r="B31" s="3"/>
      <c r="E31" s="47"/>
      <c r="F31" s="3"/>
    </row>
    <row r="32" spans="1:16" x14ac:dyDescent="0.2">
      <c r="B32" s="3"/>
      <c r="E32" s="47"/>
      <c r="F32" s="3"/>
    </row>
    <row r="33" spans="2:6" x14ac:dyDescent="0.2">
      <c r="B33" s="3"/>
      <c r="E33" s="47"/>
      <c r="F33" s="3"/>
    </row>
    <row r="34" spans="2:6" x14ac:dyDescent="0.2">
      <c r="B34" s="3"/>
      <c r="E34" s="47"/>
      <c r="F34" s="3"/>
    </row>
    <row r="35" spans="2:6" x14ac:dyDescent="0.2">
      <c r="B35" s="3"/>
      <c r="E35" s="47"/>
      <c r="F35" s="3"/>
    </row>
    <row r="36" spans="2:6" x14ac:dyDescent="0.2">
      <c r="B36" s="3"/>
      <c r="E36" s="47"/>
      <c r="F36" s="3"/>
    </row>
    <row r="37" spans="2:6" x14ac:dyDescent="0.2">
      <c r="B37" s="3"/>
      <c r="E37" s="47"/>
      <c r="F37" s="3"/>
    </row>
    <row r="38" spans="2:6" x14ac:dyDescent="0.2">
      <c r="B38" s="3"/>
      <c r="E38" s="47"/>
      <c r="F38" s="3"/>
    </row>
    <row r="39" spans="2:6" x14ac:dyDescent="0.2">
      <c r="B39" s="3"/>
      <c r="E39" s="47"/>
      <c r="F39" s="3"/>
    </row>
    <row r="40" spans="2:6" x14ac:dyDescent="0.2">
      <c r="B40" s="3"/>
      <c r="E40" s="47"/>
      <c r="F40" s="3"/>
    </row>
    <row r="41" spans="2:6" x14ac:dyDescent="0.2">
      <c r="B41" s="3"/>
      <c r="E41" s="47"/>
      <c r="F41" s="3"/>
    </row>
    <row r="42" spans="2:6" x14ac:dyDescent="0.2">
      <c r="B42" s="3"/>
      <c r="E42" s="47"/>
      <c r="F42" s="3"/>
    </row>
    <row r="43" spans="2:6" x14ac:dyDescent="0.2">
      <c r="B43" s="3"/>
      <c r="E43" s="47"/>
      <c r="F43" s="3"/>
    </row>
    <row r="44" spans="2:6" x14ac:dyDescent="0.2">
      <c r="B44" s="3"/>
      <c r="E44" s="47"/>
      <c r="F44" s="3"/>
    </row>
    <row r="45" spans="2:6" x14ac:dyDescent="0.2">
      <c r="B45" s="3"/>
      <c r="E45" s="47"/>
      <c r="F45" s="3"/>
    </row>
    <row r="46" spans="2:6" x14ac:dyDescent="0.2">
      <c r="B46" s="3"/>
      <c r="E46" s="47"/>
      <c r="F46" s="3"/>
    </row>
    <row r="47" spans="2:6" x14ac:dyDescent="0.2">
      <c r="B47" s="3"/>
      <c r="E47" s="47"/>
      <c r="F47" s="3"/>
    </row>
    <row r="48" spans="2:6" x14ac:dyDescent="0.2">
      <c r="B48" s="3"/>
      <c r="E48" s="47"/>
      <c r="F48" s="3"/>
    </row>
    <row r="49" spans="2:6" x14ac:dyDescent="0.2">
      <c r="B49" s="3"/>
      <c r="E49" s="47"/>
      <c r="F49" s="3"/>
    </row>
    <row r="50" spans="2:6" x14ac:dyDescent="0.2">
      <c r="B50" s="3"/>
      <c r="E50" s="47"/>
      <c r="F50" s="3"/>
    </row>
    <row r="51" spans="2:6" x14ac:dyDescent="0.2">
      <c r="B51" s="3"/>
      <c r="E51" s="47"/>
      <c r="F51" s="3"/>
    </row>
    <row r="52" spans="2:6" x14ac:dyDescent="0.2">
      <c r="B52" s="3"/>
      <c r="E52" s="47"/>
      <c r="F52" s="3"/>
    </row>
    <row r="53" spans="2:6" x14ac:dyDescent="0.2">
      <c r="B53" s="3"/>
      <c r="E53" s="47"/>
      <c r="F53" s="3"/>
    </row>
    <row r="54" spans="2:6" x14ac:dyDescent="0.2">
      <c r="B54" s="3"/>
      <c r="E54" s="47"/>
      <c r="F54" s="3"/>
    </row>
    <row r="55" spans="2:6" x14ac:dyDescent="0.2">
      <c r="B55" s="3"/>
      <c r="E55" s="47"/>
      <c r="F55" s="3"/>
    </row>
    <row r="56" spans="2:6" x14ac:dyDescent="0.2">
      <c r="B56" s="3"/>
      <c r="E56" s="47"/>
      <c r="F56" s="3"/>
    </row>
    <row r="57" spans="2:6" x14ac:dyDescent="0.2">
      <c r="B57" s="3"/>
      <c r="E57" s="47"/>
      <c r="F57" s="3"/>
    </row>
    <row r="58" spans="2:6" x14ac:dyDescent="0.2">
      <c r="B58" s="3"/>
      <c r="E58" s="47"/>
      <c r="F58" s="3"/>
    </row>
    <row r="59" spans="2:6" x14ac:dyDescent="0.2">
      <c r="B59" s="3"/>
      <c r="E59" s="47"/>
      <c r="F59" s="3"/>
    </row>
    <row r="60" spans="2:6" x14ac:dyDescent="0.2">
      <c r="B60" s="3"/>
      <c r="E60" s="47"/>
      <c r="F60" s="3"/>
    </row>
    <row r="61" spans="2:6" x14ac:dyDescent="0.2">
      <c r="B61" s="3"/>
      <c r="E61" s="47"/>
      <c r="F61" s="3"/>
    </row>
    <row r="62" spans="2:6" x14ac:dyDescent="0.2">
      <c r="B62" s="3"/>
      <c r="E62" s="47"/>
      <c r="F62" s="3"/>
    </row>
    <row r="63" spans="2:6" x14ac:dyDescent="0.2">
      <c r="B63" s="3"/>
      <c r="E63" s="47"/>
      <c r="F63" s="3"/>
    </row>
    <row r="64" spans="2:6" x14ac:dyDescent="0.2">
      <c r="B64" s="3"/>
      <c r="E64" s="47"/>
      <c r="F64" s="3"/>
    </row>
    <row r="65" spans="2:6" x14ac:dyDescent="0.2">
      <c r="B65" s="3"/>
      <c r="E65" s="47"/>
      <c r="F65" s="3"/>
    </row>
    <row r="66" spans="2:6" x14ac:dyDescent="0.2">
      <c r="B66" s="3"/>
      <c r="E66" s="47"/>
      <c r="F66" s="3"/>
    </row>
    <row r="67" spans="2:6" x14ac:dyDescent="0.2">
      <c r="B67" s="3"/>
      <c r="E67" s="47"/>
      <c r="F67" s="3"/>
    </row>
    <row r="68" spans="2:6" x14ac:dyDescent="0.2">
      <c r="B68" s="3"/>
      <c r="E68" s="47"/>
      <c r="F68" s="3"/>
    </row>
    <row r="69" spans="2:6" x14ac:dyDescent="0.2">
      <c r="B69" s="3"/>
      <c r="E69" s="47"/>
      <c r="F69" s="3"/>
    </row>
    <row r="70" spans="2:6" x14ac:dyDescent="0.2">
      <c r="B70" s="3"/>
      <c r="E70" s="47"/>
      <c r="F70" s="3"/>
    </row>
    <row r="71" spans="2:6" x14ac:dyDescent="0.2">
      <c r="B71" s="3"/>
      <c r="E71" s="47"/>
      <c r="F71" s="3"/>
    </row>
    <row r="72" spans="2:6" x14ac:dyDescent="0.2">
      <c r="B72" s="3"/>
      <c r="E72" s="47"/>
      <c r="F72" s="3"/>
    </row>
    <row r="73" spans="2:6" x14ac:dyDescent="0.2">
      <c r="B73" s="3"/>
      <c r="E73" s="47"/>
      <c r="F73" s="3"/>
    </row>
    <row r="74" spans="2:6" x14ac:dyDescent="0.2">
      <c r="B74" s="3"/>
      <c r="E74" s="47"/>
      <c r="F74" s="3"/>
    </row>
    <row r="75" spans="2:6" x14ac:dyDescent="0.2">
      <c r="B75" s="3"/>
      <c r="E75" s="47"/>
      <c r="F75" s="3"/>
    </row>
    <row r="76" spans="2:6" x14ac:dyDescent="0.2">
      <c r="B76" s="3"/>
      <c r="E76" s="47"/>
      <c r="F76" s="3"/>
    </row>
    <row r="77" spans="2:6" x14ac:dyDescent="0.2">
      <c r="B77" s="3"/>
      <c r="E77" s="47"/>
      <c r="F77" s="3"/>
    </row>
    <row r="78" spans="2:6" x14ac:dyDescent="0.2">
      <c r="B78" s="3"/>
      <c r="E78" s="47"/>
      <c r="F78" s="3"/>
    </row>
    <row r="79" spans="2:6" x14ac:dyDescent="0.2">
      <c r="B79" s="3"/>
      <c r="E79" s="47"/>
      <c r="F79" s="3"/>
    </row>
    <row r="80" spans="2:6" x14ac:dyDescent="0.2">
      <c r="B80" s="3"/>
      <c r="E80" s="47"/>
      <c r="F80" s="3"/>
    </row>
    <row r="81" spans="2:6" x14ac:dyDescent="0.2">
      <c r="B81" s="3"/>
      <c r="E81" s="47"/>
      <c r="F81" s="3"/>
    </row>
    <row r="82" spans="2:6" x14ac:dyDescent="0.2">
      <c r="B82" s="3"/>
      <c r="E82" s="47"/>
      <c r="F82" s="3"/>
    </row>
    <row r="83" spans="2:6" x14ac:dyDescent="0.2">
      <c r="B83" s="3"/>
      <c r="E83" s="47"/>
      <c r="F83" s="3"/>
    </row>
    <row r="84" spans="2:6" x14ac:dyDescent="0.2">
      <c r="B84" s="3"/>
      <c r="E84" s="47"/>
      <c r="F84" s="3"/>
    </row>
    <row r="85" spans="2:6" x14ac:dyDescent="0.2">
      <c r="B85" s="3"/>
      <c r="E85" s="47"/>
      <c r="F85" s="3"/>
    </row>
    <row r="86" spans="2:6" x14ac:dyDescent="0.2">
      <c r="B86" s="3"/>
      <c r="E86" s="47"/>
      <c r="F86" s="3"/>
    </row>
    <row r="87" spans="2:6" x14ac:dyDescent="0.2">
      <c r="B87" s="3"/>
      <c r="E87" s="47"/>
      <c r="F87" s="3"/>
    </row>
    <row r="88" spans="2:6" x14ac:dyDescent="0.2">
      <c r="B88" s="3"/>
      <c r="E88" s="47"/>
      <c r="F88" s="3"/>
    </row>
    <row r="89" spans="2:6" x14ac:dyDescent="0.2">
      <c r="B89" s="3"/>
      <c r="E89" s="47"/>
      <c r="F89" s="3"/>
    </row>
    <row r="90" spans="2:6" x14ac:dyDescent="0.2">
      <c r="B90" s="3"/>
      <c r="E90" s="47"/>
      <c r="F90" s="3"/>
    </row>
    <row r="91" spans="2:6" x14ac:dyDescent="0.2">
      <c r="B91" s="3"/>
      <c r="E91" s="47"/>
      <c r="F91" s="3"/>
    </row>
    <row r="92" spans="2:6" x14ac:dyDescent="0.2">
      <c r="B92" s="3"/>
      <c r="E92" s="47"/>
      <c r="F92" s="3"/>
    </row>
    <row r="93" spans="2:6" x14ac:dyDescent="0.2">
      <c r="B93" s="3"/>
      <c r="E93" s="47"/>
      <c r="F93" s="3"/>
    </row>
    <row r="94" spans="2:6" x14ac:dyDescent="0.2">
      <c r="B94" s="3"/>
      <c r="E94" s="47"/>
      <c r="F94" s="3"/>
    </row>
    <row r="95" spans="2:6" x14ac:dyDescent="0.2">
      <c r="B95" s="3"/>
      <c r="E95" s="47"/>
      <c r="F95" s="3"/>
    </row>
    <row r="96" spans="2:6" x14ac:dyDescent="0.2">
      <c r="B96" s="3"/>
      <c r="E96" s="47"/>
      <c r="F96" s="3"/>
    </row>
    <row r="97" spans="2:6" x14ac:dyDescent="0.2">
      <c r="B97" s="3"/>
      <c r="E97" s="47"/>
      <c r="F97" s="3"/>
    </row>
    <row r="98" spans="2:6" x14ac:dyDescent="0.2">
      <c r="B98" s="3"/>
      <c r="E98" s="47"/>
      <c r="F98" s="3"/>
    </row>
    <row r="99" spans="2:6" x14ac:dyDescent="0.2">
      <c r="B99" s="3"/>
      <c r="E99" s="47"/>
      <c r="F99" s="3"/>
    </row>
    <row r="100" spans="2:6" x14ac:dyDescent="0.2">
      <c r="B100" s="3"/>
      <c r="E100" s="47"/>
      <c r="F100" s="3"/>
    </row>
    <row r="101" spans="2:6" x14ac:dyDescent="0.2">
      <c r="B101" s="3"/>
      <c r="E101" s="47"/>
      <c r="F101" s="3"/>
    </row>
    <row r="102" spans="2:6" x14ac:dyDescent="0.2">
      <c r="B102" s="3"/>
      <c r="E102" s="47"/>
      <c r="F102" s="3"/>
    </row>
    <row r="103" spans="2:6" x14ac:dyDescent="0.2">
      <c r="B103" s="3"/>
      <c r="E103" s="47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</sheetData>
  <phoneticPr fontId="8" type="noConversion"/>
  <hyperlinks>
    <hyperlink ref="A3" r:id="rId1"/>
    <hyperlink ref="P20" r:id="rId2" display="http://www.konkoly.hu/cgi-bin/IBVS?3708"/>
    <hyperlink ref="P21" r:id="rId3" display="http://www.bav-astro.de/sfs/BAVM_link.php?BAVMnr=143"/>
    <hyperlink ref="P22" r:id="rId4" display="http://www.bav-astro.de/sfs/BAVM_link.php?BAVMnr=143"/>
    <hyperlink ref="P23" r:id="rId5" display="http://www.bav-astro.de/sfs/BAVM_link.php?BAVMnr=154"/>
    <hyperlink ref="P24" r:id="rId6" display="http://www.bav-astro.de/sfs/BAVM_link.php?BAVMnr=157"/>
    <hyperlink ref="P11" r:id="rId7" display="http://www.bav-astro.de/sfs/BAVM_link.php?BAVMnr=173"/>
    <hyperlink ref="P12" r:id="rId8" display="http://www.bav-astro.de/sfs/BAVM_link.php?BAVMnr=173"/>
    <hyperlink ref="P13" r:id="rId9" display="http://www.bav-astro.de/sfs/BAVM_link.php?BAVMnr=178"/>
    <hyperlink ref="P14" r:id="rId10" display="http://www.bav-astro.de/sfs/BAVM_link.php?BAVMnr=178"/>
    <hyperlink ref="P15" r:id="rId11" display="http://www.bav-astro.de/sfs/BAVM_link.php?BAVMnr=178"/>
    <hyperlink ref="P16" r:id="rId12" display="http://www.bav-astro.de/sfs/BAVM_link.php?BAVMnr=178"/>
    <hyperlink ref="P25" r:id="rId13" display="http://www.bav-astro.de/sfs/BAVM_link.php?BAVMnr=193"/>
    <hyperlink ref="P17" r:id="rId14" display="http://www.bav-astro.de/sfs/BAVM_link.php?BAVMnr=215"/>
    <hyperlink ref="P26" r:id="rId15" display="http://www.bav-astro.de/sfs/BAVM_link.php?BAVMnr=220"/>
    <hyperlink ref="P27" r:id="rId16" display="http://www.bav-astro.de/sfs/BAVM_link.php?BAVMnr=220"/>
    <hyperlink ref="P18" r:id="rId17" display="http://www.bav-astro.de/sfs/BAVM_link.php?BAVMnr=220"/>
    <hyperlink ref="P19" r:id="rId18" display="http://var.astro.cz/oejv/issues/oejv0160.pdf"/>
    <hyperlink ref="P28" r:id="rId19" display="http://www.bav-astro.de/sfs/BAVM_link.php?BAVMnr=241"/>
    <hyperlink ref="P29" r:id="rId2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2024-01-11T04:49:51Z</dcterms:modified>
</cp:coreProperties>
</file>