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0526E3A-2026-41BD-BF73-5EC373174F7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9" i="1"/>
  <c r="Q28" i="1"/>
  <c r="H13" i="2"/>
  <c r="G13" i="2"/>
  <c r="C13" i="2"/>
  <c r="D13" i="2"/>
  <c r="B13" i="2"/>
  <c r="A13" i="2"/>
  <c r="H12" i="2"/>
  <c r="G12" i="2"/>
  <c r="D12" i="2"/>
  <c r="C12" i="2"/>
  <c r="B12" i="2"/>
  <c r="A12" i="2"/>
  <c r="H11" i="2"/>
  <c r="B11" i="2"/>
  <c r="G11" i="2"/>
  <c r="D11" i="2"/>
  <c r="C11" i="2"/>
  <c r="A11" i="2"/>
  <c r="E21" i="1"/>
  <c r="F21" i="1"/>
  <c r="Q25" i="1"/>
  <c r="Q22" i="1"/>
  <c r="Q23" i="1"/>
  <c r="Q26" i="1"/>
  <c r="Q27" i="1"/>
  <c r="F16" i="1"/>
  <c r="F17" i="1" s="1"/>
  <c r="C17" i="1"/>
  <c r="Q24" i="1"/>
  <c r="C7" i="1"/>
  <c r="E29" i="1"/>
  <c r="F29" i="1"/>
  <c r="C8" i="1"/>
  <c r="Q21" i="1"/>
  <c r="E13" i="2"/>
  <c r="E11" i="2"/>
  <c r="E27" i="1"/>
  <c r="F27" i="1"/>
  <c r="G27" i="1"/>
  <c r="K27" i="1"/>
  <c r="E25" i="1"/>
  <c r="F25" i="1"/>
  <c r="G25" i="1"/>
  <c r="K25" i="1"/>
  <c r="G22" i="1"/>
  <c r="E23" i="1"/>
  <c r="F23" i="1"/>
  <c r="G23" i="1"/>
  <c r="K23" i="1"/>
  <c r="G26" i="1"/>
  <c r="K26" i="1"/>
  <c r="E26" i="1"/>
  <c r="F26" i="1"/>
  <c r="E22" i="1"/>
  <c r="F22" i="1"/>
  <c r="G29" i="1"/>
  <c r="K29" i="1"/>
  <c r="E24" i="1"/>
  <c r="F24" i="1"/>
  <c r="G24" i="1"/>
  <c r="K24" i="1"/>
  <c r="G21" i="1"/>
  <c r="I21" i="1"/>
  <c r="E28" i="1"/>
  <c r="F28" i="1"/>
  <c r="G28" i="1"/>
  <c r="K28" i="1"/>
  <c r="K22" i="1"/>
  <c r="E12" i="2"/>
  <c r="C12" i="1"/>
  <c r="C11" i="1"/>
  <c r="O25" i="1" l="1"/>
  <c r="O29" i="1"/>
  <c r="O26" i="1"/>
  <c r="O27" i="1"/>
  <c r="C15" i="1"/>
  <c r="O23" i="1"/>
  <c r="O21" i="1"/>
  <c r="O22" i="1"/>
  <c r="O24" i="1"/>
  <c r="O2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<sst xmlns="http://schemas.openxmlformats.org/spreadsheetml/2006/main" count="96" uniqueCount="76">
  <si>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</si>
  <si>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</si>
  <si>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</si>
  <si>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</si>
  <si>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</si>
  <si>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</si>
  <si>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</si>
  <si>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</si>
  <si>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</si>
  <si>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</si>
  <si>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</si>
  <si>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</si>
  <si>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</si>
  <si>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</si>
  <si>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</si>
  <si>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</si>
  <si>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</si>
  <si>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</si>
  <si>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</si>
  <si>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</si>
  <si>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</si>
  <si>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</si>
  <si>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</si>
  <si>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</si>
  <si>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</si>
  <si>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</si>
  <si>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</si>
  <si>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</si>
  <si>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V1692 Aql / GSC 0477-0889</t>
  </si>
  <si>
    <t>EW</t>
  </si>
  <si>
    <t>Brh V100</t>
  </si>
  <si>
    <t>IBVS 5260</t>
  </si>
  <si>
    <t>JAVSO..38..183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</si>
  <si>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</si>
  <si>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</si>
  <si>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</si>
  <si>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</si>
  <si>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</si>
  <si>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</si>
  <si>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</si>
  <si>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</si>
  <si>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6084</t>
  </si>
  <si>
    <t>VSS_2013-01-28</t>
  </si>
  <si>
    <t>I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</si>
  <si>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</si>
  <si>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</si>
  <si>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</si>
  <si>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</si>
  <si>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</si>
  <si>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</si>
  <si>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</si>
  <si>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</si>
  <si>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</si>
  <si>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</si>
  <si>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</si>
  <si>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</si>
  <si>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2455112.2819 </t>
  </si>
  <si>
    <t> 07.10.2009 18:45 </t>
  </si>
  <si>
    <t> 0.0095 </t>
  </si>
  <si>
    <t>C </t>
  </si>
  <si>
    <t>ns</t>
  </si>
  <si>
    <t> Y.Ogmen </t>
  </si>
  <si>
    <t> JAAVSO 38;120 </t>
  </si>
  <si>
    <t>2455418.4209 </t>
  </si>
  <si>
    <t> 09.08.2010 22:06 </t>
  </si>
  <si>
    <t> 0.0009 </t>
  </si>
  <si>
    <t>-I</t>
  </si>
  <si>
    <t> F.Agerer </t>
  </si>
  <si>
    <t>BAVM 215 </t>
  </si>
  <si>
    <t>2456489.4842 </t>
  </si>
  <si>
    <t> 15.07.2013 23:37 </t>
  </si>
  <si>
    <t>7137.5</t>
  </si>
  <si>
    <t> 0.0045 </t>
  </si>
  <si>
    <t>BAVM 232 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</si>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</sst>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1" fillId="0" borderId="0"/>
    <xf numFmtId="0" fontId="11" fillId="0" borderId="0"/>
    <xf numFmtId="0" fontId="11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9" xfId="0" applyFont="1" applyBorder="1" applyAlignment="1"/>
    <xf numFmtId="0" fontId="10" fillId="0" borderId="10" xfId="0" applyFont="1" applyBorder="1" applyAlignment="1"/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8" fillId="24" borderId="19" xfId="38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43" applyFont="1"/>
    <xf numFmtId="0" fontId="16" fillId="0" borderId="0" xfId="43" applyFont="1" applyAlignment="1">
      <alignment horizontal="center"/>
    </xf>
    <xf numFmtId="0" fontId="16" fillId="0" borderId="0" xfId="43" applyFont="1" applyAlignment="1">
      <alignment horizontal="left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V1692 Aql - O-C Diagr.</a:t>
            </a:r>
          </a:p>
        </c:rich>
      </c:tx>
      <c:layout>
        <c:manualLayout>
          <c:xMode val="edge"/>
          <c:yMode val="edge"/>
          <c:x val="0.36187432952141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4811</c:v>
                </c:pt>
                <c:pt idx="2">
                  <c:v>4877</c:v>
                </c:pt>
                <c:pt idx="3">
                  <c:v>4877</c:v>
                </c:pt>
                <c:pt idx="4">
                  <c:v>5379.5</c:v>
                </c:pt>
                <c:pt idx="5">
                  <c:v>5427</c:v>
                </c:pt>
                <c:pt idx="6">
                  <c:v>7137.5</c:v>
                </c:pt>
                <c:pt idx="7">
                  <c:v>8457</c:v>
                </c:pt>
                <c:pt idx="8">
                  <c:v>9565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72-4D26-91C4-3922FAF025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4.6999999999999999E-4</c:v>
                  </c:pt>
                  <c:pt idx="2">
                    <c:v>3.8000000000000002E-4</c:v>
                  </c:pt>
                  <c:pt idx="3">
                    <c:v>2.9999999999999997E-4</c:v>
                  </c:pt>
                  <c:pt idx="4">
                    <c:v>8.8999999999999999E-3</c:v>
                  </c:pt>
                  <c:pt idx="5">
                    <c:v>1.9000000000000001E-4</c:v>
                  </c:pt>
                  <c:pt idx="6">
                    <c:v>6.4999999999999997E-3</c:v>
                  </c:pt>
                  <c:pt idx="7">
                    <c:v>6.9999999999999999E-4</c:v>
                  </c:pt>
                  <c:pt idx="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4.6999999999999999E-4</c:v>
                  </c:pt>
                  <c:pt idx="2">
                    <c:v>3.8000000000000002E-4</c:v>
                  </c:pt>
                  <c:pt idx="3">
                    <c:v>2.9999999999999997E-4</c:v>
                  </c:pt>
                  <c:pt idx="4">
                    <c:v>8.8999999999999999E-3</c:v>
                  </c:pt>
                  <c:pt idx="5">
                    <c:v>1.9000000000000001E-4</c:v>
                  </c:pt>
                  <c:pt idx="6">
                    <c:v>6.4999999999999997E-3</c:v>
                  </c:pt>
                  <c:pt idx="7">
                    <c:v>6.9999999999999999E-4</c:v>
                  </c:pt>
                  <c:pt idx="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4811</c:v>
                </c:pt>
                <c:pt idx="2">
                  <c:v>4877</c:v>
                </c:pt>
                <c:pt idx="3">
                  <c:v>4877</c:v>
                </c:pt>
                <c:pt idx="4">
                  <c:v>5379.5</c:v>
                </c:pt>
                <c:pt idx="5">
                  <c:v>5427</c:v>
                </c:pt>
                <c:pt idx="6">
                  <c:v>7137.5</c:v>
                </c:pt>
                <c:pt idx="7">
                  <c:v>8457</c:v>
                </c:pt>
                <c:pt idx="8">
                  <c:v>9565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72-4D26-91C4-3922FAF025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4.6999999999999999E-4</c:v>
                  </c:pt>
                  <c:pt idx="2">
                    <c:v>3.8000000000000002E-4</c:v>
                  </c:pt>
                  <c:pt idx="3">
                    <c:v>2.9999999999999997E-4</c:v>
                  </c:pt>
                  <c:pt idx="4">
                    <c:v>8.8999999999999999E-3</c:v>
                  </c:pt>
                  <c:pt idx="5">
                    <c:v>1.9000000000000001E-4</c:v>
                  </c:pt>
                  <c:pt idx="6">
                    <c:v>6.4999999999999997E-3</c:v>
                  </c:pt>
                  <c:pt idx="7">
                    <c:v>6.9999999999999999E-4</c:v>
                  </c:pt>
                  <c:pt idx="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4.6999999999999999E-4</c:v>
                  </c:pt>
                  <c:pt idx="2">
                    <c:v>3.8000000000000002E-4</c:v>
                  </c:pt>
                  <c:pt idx="3">
                    <c:v>2.9999999999999997E-4</c:v>
                  </c:pt>
                  <c:pt idx="4">
                    <c:v>8.8999999999999999E-3</c:v>
                  </c:pt>
                  <c:pt idx="5">
                    <c:v>1.9000000000000001E-4</c:v>
                  </c:pt>
                  <c:pt idx="6">
                    <c:v>6.4999999999999997E-3</c:v>
                  </c:pt>
                  <c:pt idx="7">
                    <c:v>6.9999999999999999E-4</c:v>
                  </c:pt>
                  <c:pt idx="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4811</c:v>
                </c:pt>
                <c:pt idx="2">
                  <c:v>4877</c:v>
                </c:pt>
                <c:pt idx="3">
                  <c:v>4877</c:v>
                </c:pt>
                <c:pt idx="4">
                  <c:v>5379.5</c:v>
                </c:pt>
                <c:pt idx="5">
                  <c:v>5427</c:v>
                </c:pt>
                <c:pt idx="6">
                  <c:v>7137.5</c:v>
                </c:pt>
                <c:pt idx="7">
                  <c:v>8457</c:v>
                </c:pt>
                <c:pt idx="8">
                  <c:v>9565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72-4D26-91C4-3922FAF025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4.6999999999999999E-4</c:v>
                  </c:pt>
                  <c:pt idx="2">
                    <c:v>3.8000000000000002E-4</c:v>
                  </c:pt>
                  <c:pt idx="3">
                    <c:v>2.9999999999999997E-4</c:v>
                  </c:pt>
                  <c:pt idx="4">
                    <c:v>8.8999999999999999E-3</c:v>
                  </c:pt>
                  <c:pt idx="5">
                    <c:v>1.9000000000000001E-4</c:v>
                  </c:pt>
                  <c:pt idx="6">
                    <c:v>6.4999999999999997E-3</c:v>
                  </c:pt>
                  <c:pt idx="7">
                    <c:v>6.9999999999999999E-4</c:v>
                  </c:pt>
                  <c:pt idx="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4.6999999999999999E-4</c:v>
                  </c:pt>
                  <c:pt idx="2">
                    <c:v>3.8000000000000002E-4</c:v>
                  </c:pt>
                  <c:pt idx="3">
                    <c:v>2.9999999999999997E-4</c:v>
                  </c:pt>
                  <c:pt idx="4">
                    <c:v>8.8999999999999999E-3</c:v>
                  </c:pt>
                  <c:pt idx="5">
                    <c:v>1.9000000000000001E-4</c:v>
                  </c:pt>
                  <c:pt idx="6">
                    <c:v>6.4999999999999997E-3</c:v>
                  </c:pt>
                  <c:pt idx="7">
                    <c:v>6.9999999999999999E-4</c:v>
                  </c:pt>
                  <c:pt idx="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4811</c:v>
                </c:pt>
                <c:pt idx="2">
                  <c:v>4877</c:v>
                </c:pt>
                <c:pt idx="3">
                  <c:v>4877</c:v>
                </c:pt>
                <c:pt idx="4">
                  <c:v>5379.5</c:v>
                </c:pt>
                <c:pt idx="5">
                  <c:v>5427</c:v>
                </c:pt>
                <c:pt idx="6">
                  <c:v>7137.5</c:v>
                </c:pt>
                <c:pt idx="7">
                  <c:v>8457</c:v>
                </c:pt>
                <c:pt idx="8">
                  <c:v>9565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-4.559999999764841E-2</c:v>
                </c:pt>
                <c:pt idx="2">
                  <c:v>-3.929000000061933E-2</c:v>
                </c:pt>
                <c:pt idx="3">
                  <c:v>-3.9120000001275912E-2</c:v>
                </c:pt>
                <c:pt idx="4">
                  <c:v>-5.3270000003976747E-2</c:v>
                </c:pt>
                <c:pt idx="5">
                  <c:v>-5.1009999995585531E-2</c:v>
                </c:pt>
                <c:pt idx="6">
                  <c:v>-6.9049999998242129E-2</c:v>
                </c:pt>
                <c:pt idx="7">
                  <c:v>-8.0040000000735745E-2</c:v>
                </c:pt>
                <c:pt idx="8">
                  <c:v>-9.8500000021886081E-2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72-4D26-91C4-3922FAF025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4.6999999999999999E-4</c:v>
                  </c:pt>
                  <c:pt idx="2">
                    <c:v>3.8000000000000002E-4</c:v>
                  </c:pt>
                  <c:pt idx="3">
                    <c:v>2.9999999999999997E-4</c:v>
                  </c:pt>
                  <c:pt idx="4">
                    <c:v>8.8999999999999999E-3</c:v>
                  </c:pt>
                  <c:pt idx="5">
                    <c:v>1.9000000000000001E-4</c:v>
                  </c:pt>
                  <c:pt idx="6">
                    <c:v>6.4999999999999997E-3</c:v>
                  </c:pt>
                  <c:pt idx="7">
                    <c:v>6.9999999999999999E-4</c:v>
                  </c:pt>
                  <c:pt idx="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4.6999999999999999E-4</c:v>
                  </c:pt>
                  <c:pt idx="2">
                    <c:v>3.8000000000000002E-4</c:v>
                  </c:pt>
                  <c:pt idx="3">
                    <c:v>2.9999999999999997E-4</c:v>
                  </c:pt>
                  <c:pt idx="4">
                    <c:v>8.8999999999999999E-3</c:v>
                  </c:pt>
                  <c:pt idx="5">
                    <c:v>1.9000000000000001E-4</c:v>
                  </c:pt>
                  <c:pt idx="6">
                    <c:v>6.4999999999999997E-3</c:v>
                  </c:pt>
                  <c:pt idx="7">
                    <c:v>6.9999999999999999E-4</c:v>
                  </c:pt>
                  <c:pt idx="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4811</c:v>
                </c:pt>
                <c:pt idx="2">
                  <c:v>4877</c:v>
                </c:pt>
                <c:pt idx="3">
                  <c:v>4877</c:v>
                </c:pt>
                <c:pt idx="4">
                  <c:v>5379.5</c:v>
                </c:pt>
                <c:pt idx="5">
                  <c:v>5427</c:v>
                </c:pt>
                <c:pt idx="6">
                  <c:v>7137.5</c:v>
                </c:pt>
                <c:pt idx="7">
                  <c:v>8457</c:v>
                </c:pt>
                <c:pt idx="8">
                  <c:v>9565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72-4D26-91C4-3922FAF025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4.6999999999999999E-4</c:v>
                  </c:pt>
                  <c:pt idx="2">
                    <c:v>3.8000000000000002E-4</c:v>
                  </c:pt>
                  <c:pt idx="3">
                    <c:v>2.9999999999999997E-4</c:v>
                  </c:pt>
                  <c:pt idx="4">
                    <c:v>8.8999999999999999E-3</c:v>
                  </c:pt>
                  <c:pt idx="5">
                    <c:v>1.9000000000000001E-4</c:v>
                  </c:pt>
                  <c:pt idx="6">
                    <c:v>6.4999999999999997E-3</c:v>
                  </c:pt>
                  <c:pt idx="7">
                    <c:v>6.9999999999999999E-4</c:v>
                  </c:pt>
                  <c:pt idx="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4.6999999999999999E-4</c:v>
                  </c:pt>
                  <c:pt idx="2">
                    <c:v>3.8000000000000002E-4</c:v>
                  </c:pt>
                  <c:pt idx="3">
                    <c:v>2.9999999999999997E-4</c:v>
                  </c:pt>
                  <c:pt idx="4">
                    <c:v>8.8999999999999999E-3</c:v>
                  </c:pt>
                  <c:pt idx="5">
                    <c:v>1.9000000000000001E-4</c:v>
                  </c:pt>
                  <c:pt idx="6">
                    <c:v>6.4999999999999997E-3</c:v>
                  </c:pt>
                  <c:pt idx="7">
                    <c:v>6.9999999999999999E-4</c:v>
                  </c:pt>
                  <c:pt idx="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4811</c:v>
                </c:pt>
                <c:pt idx="2">
                  <c:v>4877</c:v>
                </c:pt>
                <c:pt idx="3">
                  <c:v>4877</c:v>
                </c:pt>
                <c:pt idx="4">
                  <c:v>5379.5</c:v>
                </c:pt>
                <c:pt idx="5">
                  <c:v>5427</c:v>
                </c:pt>
                <c:pt idx="6">
                  <c:v>7137.5</c:v>
                </c:pt>
                <c:pt idx="7">
                  <c:v>8457</c:v>
                </c:pt>
                <c:pt idx="8">
                  <c:v>9565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72-4D26-91C4-3922FAF025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4.6999999999999999E-4</c:v>
                  </c:pt>
                  <c:pt idx="2">
                    <c:v>3.8000000000000002E-4</c:v>
                  </c:pt>
                  <c:pt idx="3">
                    <c:v>2.9999999999999997E-4</c:v>
                  </c:pt>
                  <c:pt idx="4">
                    <c:v>8.8999999999999999E-3</c:v>
                  </c:pt>
                  <c:pt idx="5">
                    <c:v>1.9000000000000001E-4</c:v>
                  </c:pt>
                  <c:pt idx="6">
                    <c:v>6.4999999999999997E-3</c:v>
                  </c:pt>
                  <c:pt idx="7">
                    <c:v>6.9999999999999999E-4</c:v>
                  </c:pt>
                  <c:pt idx="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4.6999999999999999E-4</c:v>
                  </c:pt>
                  <c:pt idx="2">
                    <c:v>3.8000000000000002E-4</c:v>
                  </c:pt>
                  <c:pt idx="3">
                    <c:v>2.9999999999999997E-4</c:v>
                  </c:pt>
                  <c:pt idx="4">
                    <c:v>8.8999999999999999E-3</c:v>
                  </c:pt>
                  <c:pt idx="5">
                    <c:v>1.9000000000000001E-4</c:v>
                  </c:pt>
                  <c:pt idx="6">
                    <c:v>6.4999999999999997E-3</c:v>
                  </c:pt>
                  <c:pt idx="7">
                    <c:v>6.9999999999999999E-4</c:v>
                  </c:pt>
                  <c:pt idx="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4811</c:v>
                </c:pt>
                <c:pt idx="2">
                  <c:v>4877</c:v>
                </c:pt>
                <c:pt idx="3">
                  <c:v>4877</c:v>
                </c:pt>
                <c:pt idx="4">
                  <c:v>5379.5</c:v>
                </c:pt>
                <c:pt idx="5">
                  <c:v>5427</c:v>
                </c:pt>
                <c:pt idx="6">
                  <c:v>7137.5</c:v>
                </c:pt>
                <c:pt idx="7">
                  <c:v>8457</c:v>
                </c:pt>
                <c:pt idx="8">
                  <c:v>9565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72-4D26-91C4-3922FAF025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4811</c:v>
                </c:pt>
                <c:pt idx="2">
                  <c:v>4877</c:v>
                </c:pt>
                <c:pt idx="3">
                  <c:v>4877</c:v>
                </c:pt>
                <c:pt idx="4">
                  <c:v>5379.5</c:v>
                </c:pt>
                <c:pt idx="5">
                  <c:v>5427</c:v>
                </c:pt>
                <c:pt idx="6">
                  <c:v>7137.5</c:v>
                </c:pt>
                <c:pt idx="7">
                  <c:v>8457</c:v>
                </c:pt>
                <c:pt idx="8">
                  <c:v>9565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1.2234367780150635E-2</c:v>
                </c:pt>
                <c:pt idx="1">
                  <c:v>-4.2392198628954915E-2</c:v>
                </c:pt>
                <c:pt idx="2">
                  <c:v>-4.3141596546851603E-2</c:v>
                </c:pt>
                <c:pt idx="3">
                  <c:v>-4.3141596546851603E-2</c:v>
                </c:pt>
                <c:pt idx="4">
                  <c:v>-4.884723978538321E-2</c:v>
                </c:pt>
                <c:pt idx="5">
                  <c:v>-4.9386579195990675E-2</c:v>
                </c:pt>
                <c:pt idx="6">
                  <c:v>-6.8808475234813177E-2</c:v>
                </c:pt>
                <c:pt idx="7">
                  <c:v>-8.3790756335793165E-2</c:v>
                </c:pt>
                <c:pt idx="8">
                  <c:v>-9.6371557745331515E-2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72-4D26-91C4-3922FAF02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177224"/>
        <c:axId val="1"/>
      </c:scatterChart>
      <c:valAx>
        <c:axId val="563177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177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2488689317711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304800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230AE4F-6F8F-FFA6-EB6F-79C2B732F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425781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28</v>
      </c>
    </row>
    <row r="2" spans="1:6">
      <c r="A2" t="s">
        <v>23</v>
      </c>
      <c r="B2" t="s">
        <v>29</v>
      </c>
      <c r="C2" s="10" t="s">
        <v>30</v>
      </c>
      <c r="D2" s="3"/>
    </row>
    <row r="3" spans="1:6" ht="13.5" thickBot="1"/>
    <row r="4" spans="1:6" ht="13.5" thickBot="1">
      <c r="A4" s="5" t="s">
        <v>0</v>
      </c>
      <c r="C4" s="8">
        <v>52140.959999999999</v>
      </c>
      <c r="D4" s="9">
        <v>0.60926000000000002</v>
      </c>
    </row>
    <row r="5" spans="1:6">
      <c r="A5" s="11" t="s">
        <v>33</v>
      </c>
      <c r="B5" s="12"/>
      <c r="C5" s="13">
        <v>-9.5</v>
      </c>
      <c r="D5" s="12" t="s">
        <v>34</v>
      </c>
    </row>
    <row r="6" spans="1:6">
      <c r="A6" s="5" t="s">
        <v>1</v>
      </c>
    </row>
    <row r="7" spans="1:6">
      <c r="A7" t="s">
        <v>2</v>
      </c>
      <c r="C7">
        <f>+C4</f>
        <v>52140.959999999999</v>
      </c>
    </row>
    <row r="8" spans="1:6">
      <c r="A8" t="s">
        <v>3</v>
      </c>
      <c r="C8">
        <f>+D4</f>
        <v>0.60926000000000002</v>
      </c>
    </row>
    <row r="9" spans="1:6">
      <c r="A9" s="26" t="s">
        <v>40</v>
      </c>
      <c r="B9" s="27">
        <v>22</v>
      </c>
      <c r="C9" s="15" t="str">
        <f>"F"&amp;B9</f>
        <v>F22</v>
      </c>
      <c r="D9" s="22" t="str">
        <f>"G"&amp;B9</f>
        <v>G22</v>
      </c>
    </row>
    <row r="10" spans="1:6" ht="13.5" thickBot="1">
      <c r="A10" s="12"/>
      <c r="B10" s="12"/>
      <c r="C10" s="4" t="s">
        <v>19</v>
      </c>
      <c r="D10" s="4" t="s">
        <v>20</v>
      </c>
      <c r="E10" s="12"/>
    </row>
    <row r="11" spans="1:6">
      <c r="A11" s="12" t="s">
        <v>15</v>
      </c>
      <c r="B11" s="12"/>
      <c r="C11" s="14">
        <f ca="1">INTERCEPT(INDIRECT($D$9):G992,INDIRECT($C$9):F992)</f>
        <v>1.2234367780150635E-2</v>
      </c>
      <c r="D11" s="3"/>
      <c r="E11" s="12"/>
    </row>
    <row r="12" spans="1:6">
      <c r="A12" s="12" t="s">
        <v>16</v>
      </c>
      <c r="B12" s="12"/>
      <c r="C12" s="14">
        <f ca="1">SLOPE(INDIRECT($D$9):G992,INDIRECT($C$9):F992)</f>
        <v>-1.1354513907525577E-5</v>
      </c>
      <c r="D12" s="3"/>
      <c r="E12" s="12"/>
    </row>
    <row r="13" spans="1:6">
      <c r="A13" s="12" t="s">
        <v>18</v>
      </c>
      <c r="B13" s="12"/>
      <c r="C13" s="3" t="s">
        <v>13</v>
      </c>
    </row>
    <row r="14" spans="1:6">
      <c r="A14" s="12"/>
      <c r="B14" s="12"/>
      <c r="C14" s="12"/>
    </row>
    <row r="15" spans="1:6">
      <c r="A15" s="18" t="s">
        <v>17</v>
      </c>
      <c r="B15" s="12"/>
      <c r="C15" s="19">
        <f ca="1">(C7+C11)+(C8+C12)*INT(MAX(F21:F3533))</f>
        <v>57968.435528442249</v>
      </c>
      <c r="E15" s="16" t="s">
        <v>35</v>
      </c>
      <c r="F15" s="13">
        <v>1</v>
      </c>
    </row>
    <row r="16" spans="1:6">
      <c r="A16" s="20" t="s">
        <v>4</v>
      </c>
      <c r="B16" s="12"/>
      <c r="C16" s="21">
        <f ca="1">+C8+C12</f>
        <v>0.60924864548609248</v>
      </c>
      <c r="E16" s="16" t="s">
        <v>36</v>
      </c>
      <c r="F16" s="17">
        <f ca="1">NOW()+15018.5+$C$5/24</f>
        <v>60320.753035995367</v>
      </c>
    </row>
    <row r="17" spans="1:17" ht="13.5" thickBot="1">
      <c r="A17" s="16" t="s">
        <v>27</v>
      </c>
      <c r="B17" s="12"/>
      <c r="C17" s="12">
        <f>COUNT(C21:C2191)</f>
        <v>9</v>
      </c>
      <c r="E17" s="16" t="s">
        <v>37</v>
      </c>
      <c r="F17" s="17">
        <f ca="1">ROUND(2*(F16-$C$7)/$C$8,0)/2+F15</f>
        <v>13427</v>
      </c>
    </row>
    <row r="18" spans="1:17" ht="14.25" thickTop="1" thickBot="1">
      <c r="A18" s="20" t="s">
        <v>5</v>
      </c>
      <c r="B18" s="12"/>
      <c r="C18" s="24">
        <f ca="1">+C15</f>
        <v>57968.435528442249</v>
      </c>
      <c r="D18" s="25">
        <f ca="1">+C16</f>
        <v>0.60924864548609248</v>
      </c>
      <c r="E18" s="16" t="s">
        <v>38</v>
      </c>
      <c r="F18" s="22">
        <f ca="1">ROUND(2*(F16-$C$15)/$C$16,0)/2+F15</f>
        <v>3862</v>
      </c>
    </row>
    <row r="19" spans="1:17" ht="13.5" thickTop="1">
      <c r="E19" s="16" t="s">
        <v>39</v>
      </c>
      <c r="F19" s="23">
        <f ca="1">+$C$15+$C$16*F18-15018.5-$C$5/24</f>
        <v>45303.249630642873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>
      <c r="A21" s="45" t="s">
        <v>31</v>
      </c>
      <c r="B21" s="45"/>
      <c r="C21" s="30">
        <v>52140.959999999999</v>
      </c>
      <c r="D21" s="29" t="s">
        <v>13</v>
      </c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1.2234367780150635E-2</v>
      </c>
      <c r="Q21" s="2">
        <f t="shared" ref="Q21:Q27" si="4">+C21-15018.5</f>
        <v>37122.46</v>
      </c>
    </row>
    <row r="22" spans="1:17">
      <c r="A22" s="28" t="s">
        <v>42</v>
      </c>
      <c r="B22" s="29" t="s">
        <v>43</v>
      </c>
      <c r="C22" s="30">
        <v>55072.064259999999</v>
      </c>
      <c r="D22" s="30">
        <v>4.6999999999999999E-4</v>
      </c>
      <c r="E22">
        <f t="shared" si="0"/>
        <v>4810.9251551061943</v>
      </c>
      <c r="F22">
        <f t="shared" si="1"/>
        <v>4811</v>
      </c>
      <c r="G22">
        <f t="shared" si="2"/>
        <v>-4.559999999764841E-2</v>
      </c>
      <c r="K22">
        <f>+G22</f>
        <v>-4.559999999764841E-2</v>
      </c>
      <c r="O22">
        <f t="shared" ca="1" si="3"/>
        <v>-4.2392198628954915E-2</v>
      </c>
      <c r="Q22" s="2">
        <f t="shared" si="4"/>
        <v>40053.564259999999</v>
      </c>
    </row>
    <row r="23" spans="1:17">
      <c r="A23" s="28" t="s">
        <v>42</v>
      </c>
      <c r="B23" s="29" t="s">
        <v>43</v>
      </c>
      <c r="C23" s="30">
        <v>55112.281730000002</v>
      </c>
      <c r="D23" s="30">
        <v>3.8000000000000002E-4</v>
      </c>
      <c r="E23">
        <f t="shared" si="0"/>
        <v>4876.9355119325137</v>
      </c>
      <c r="F23">
        <f t="shared" si="1"/>
        <v>4877</v>
      </c>
      <c r="G23">
        <f t="shared" si="2"/>
        <v>-3.929000000061933E-2</v>
      </c>
      <c r="K23">
        <f t="shared" ref="K23:K28" si="5">+G23</f>
        <v>-3.929000000061933E-2</v>
      </c>
      <c r="O23">
        <f t="shared" ca="1" si="3"/>
        <v>-4.3141596546851603E-2</v>
      </c>
      <c r="Q23" s="2">
        <f t="shared" si="4"/>
        <v>40093.781730000002</v>
      </c>
    </row>
    <row r="24" spans="1:17">
      <c r="A24" s="28" t="s">
        <v>32</v>
      </c>
      <c r="B24" s="29"/>
      <c r="C24" s="30">
        <v>55112.281900000002</v>
      </c>
      <c r="D24" s="30">
        <v>2.9999999999999997E-4</v>
      </c>
      <c r="E24">
        <f t="shared" si="0"/>
        <v>4876.9357909595292</v>
      </c>
      <c r="F24">
        <f t="shared" si="1"/>
        <v>4877</v>
      </c>
      <c r="G24">
        <f t="shared" si="2"/>
        <v>-3.9120000001275912E-2</v>
      </c>
      <c r="K24">
        <f t="shared" si="5"/>
        <v>-3.9120000001275912E-2</v>
      </c>
      <c r="O24">
        <f t="shared" ca="1" si="3"/>
        <v>-4.3141596546851603E-2</v>
      </c>
      <c r="Q24" s="2">
        <f t="shared" si="4"/>
        <v>40093.781900000002</v>
      </c>
    </row>
    <row r="25" spans="1:17">
      <c r="A25" s="28" t="s">
        <v>44</v>
      </c>
      <c r="B25" s="28"/>
      <c r="C25" s="30">
        <v>55418.420899999997</v>
      </c>
      <c r="D25" s="30">
        <v>8.8999999999999999E-3</v>
      </c>
      <c r="E25">
        <f t="shared" si="0"/>
        <v>5379.4125660637465</v>
      </c>
      <c r="F25">
        <f t="shared" si="1"/>
        <v>5379.5</v>
      </c>
      <c r="G25">
        <f t="shared" si="2"/>
        <v>-5.3270000003976747E-2</v>
      </c>
      <c r="K25">
        <f t="shared" si="5"/>
        <v>-5.3270000003976747E-2</v>
      </c>
      <c r="O25">
        <f t="shared" ca="1" si="3"/>
        <v>-4.884723978538321E-2</v>
      </c>
      <c r="Q25" s="2">
        <f t="shared" si="4"/>
        <v>40399.920899999997</v>
      </c>
    </row>
    <row r="26" spans="1:17">
      <c r="A26" s="28" t="s">
        <v>42</v>
      </c>
      <c r="B26" s="29" t="s">
        <v>43</v>
      </c>
      <c r="C26" s="30">
        <v>55447.363010000001</v>
      </c>
      <c r="D26" s="30">
        <v>1.9000000000000001E-4</v>
      </c>
      <c r="E26">
        <f t="shared" si="0"/>
        <v>5426.9162754817344</v>
      </c>
      <c r="F26">
        <f t="shared" si="1"/>
        <v>5427</v>
      </c>
      <c r="G26">
        <f t="shared" si="2"/>
        <v>-5.1009999995585531E-2</v>
      </c>
      <c r="K26">
        <f t="shared" si="5"/>
        <v>-5.1009999995585531E-2</v>
      </c>
      <c r="O26">
        <f t="shared" ca="1" si="3"/>
        <v>-4.9386579195990675E-2</v>
      </c>
      <c r="Q26" s="2">
        <f t="shared" si="4"/>
        <v>40428.863010000001</v>
      </c>
    </row>
    <row r="27" spans="1:17">
      <c r="A27" s="30" t="s">
        <v>41</v>
      </c>
      <c r="B27" s="29" t="s">
        <v>43</v>
      </c>
      <c r="C27" s="30">
        <v>56489.484199999999</v>
      </c>
      <c r="D27" s="30">
        <v>6.4999999999999997E-3</v>
      </c>
      <c r="E27">
        <f t="shared" si="0"/>
        <v>7137.3866657912877</v>
      </c>
      <c r="F27">
        <f t="shared" si="1"/>
        <v>7137.5</v>
      </c>
      <c r="G27">
        <f t="shared" si="2"/>
        <v>-6.9049999998242129E-2</v>
      </c>
      <c r="K27">
        <f t="shared" si="5"/>
        <v>-6.9049999998242129E-2</v>
      </c>
      <c r="O27">
        <f t="shared" ca="1" si="3"/>
        <v>-6.8808475234813177E-2</v>
      </c>
      <c r="Q27" s="2">
        <f t="shared" si="4"/>
        <v>41470.984199999999</v>
      </c>
    </row>
    <row r="28" spans="1:17">
      <c r="A28" s="46" t="s">
        <v>74</v>
      </c>
      <c r="B28" s="47" t="s">
        <v>43</v>
      </c>
      <c r="C28" s="48">
        <v>57293.391779999998</v>
      </c>
      <c r="D28" s="48">
        <v>6.9999999999999999E-4</v>
      </c>
      <c r="E28">
        <f>+(C28-C$7)/C$8</f>
        <v>8456.868627515345</v>
      </c>
      <c r="F28">
        <f t="shared" si="1"/>
        <v>8457</v>
      </c>
      <c r="G28">
        <f>+C28-(C$7+F28*C$8)</f>
        <v>-8.0040000000735745E-2</v>
      </c>
      <c r="K28">
        <f t="shared" si="5"/>
        <v>-8.0040000000735745E-2</v>
      </c>
      <c r="O28">
        <f ca="1">+C$11+C$12*$F28</f>
        <v>-8.3790756335793165E-2</v>
      </c>
      <c r="Q28" s="2">
        <f>+C28-15018.5</f>
        <v>42274.891779999998</v>
      </c>
    </row>
    <row r="29" spans="1:17">
      <c r="A29" s="49" t="s">
        <v>75</v>
      </c>
      <c r="B29" s="50" t="s">
        <v>43</v>
      </c>
      <c r="C29" s="51">
        <v>57968.43339999998</v>
      </c>
      <c r="D29" s="51">
        <v>1.4E-3</v>
      </c>
      <c r="E29">
        <f>+(C29-C$7)/C$8</f>
        <v>9564.8383284640058</v>
      </c>
      <c r="F29">
        <f t="shared" si="1"/>
        <v>9565</v>
      </c>
      <c r="G29">
        <f>+C29-(C$7+F29*C$8)</f>
        <v>-9.8500000021886081E-2</v>
      </c>
      <c r="K29">
        <f>+G29</f>
        <v>-9.8500000021886081E-2</v>
      </c>
      <c r="O29">
        <f ca="1">+C$11+C$12*$F29</f>
        <v>-9.6371557745331515E-2</v>
      </c>
      <c r="Q29" s="2">
        <f>+C29-15018.5</f>
        <v>42949.93339999998</v>
      </c>
    </row>
    <row r="30" spans="1:17">
      <c r="D30" s="3"/>
      <c r="Q30" s="2"/>
    </row>
    <row r="31" spans="1:17">
      <c r="D31" s="3"/>
      <c r="Q31" s="2"/>
    </row>
    <row r="32" spans="1:17">
      <c r="D32" s="3"/>
      <c r="Q32" s="2"/>
    </row>
    <row r="33" spans="4:17">
      <c r="D33" s="3"/>
      <c r="Q33" s="2"/>
    </row>
    <row r="34" spans="4:17">
      <c r="D34" s="3"/>
    </row>
    <row r="35" spans="4:17">
      <c r="D35" s="3"/>
    </row>
    <row r="36" spans="4:17">
      <c r="D36" s="3"/>
    </row>
    <row r="37" spans="4:17">
      <c r="D37" s="3"/>
    </row>
    <row r="38" spans="4:17">
      <c r="D38" s="3"/>
    </row>
    <row r="39" spans="4:17">
      <c r="D39" s="3"/>
    </row>
    <row r="40" spans="4:17">
      <c r="D40" s="3"/>
    </row>
    <row r="41" spans="4:17">
      <c r="D41" s="3"/>
    </row>
    <row r="42" spans="4:17">
      <c r="D42" s="3"/>
    </row>
    <row r="43" spans="4:17">
      <c r="D43" s="3"/>
    </row>
    <row r="44" spans="4:17">
      <c r="D44" s="3"/>
    </row>
    <row r="45" spans="4:17">
      <c r="D45" s="3"/>
    </row>
    <row r="46" spans="4:17">
      <c r="D46" s="3"/>
    </row>
    <row r="47" spans="4:17">
      <c r="D47" s="3"/>
    </row>
    <row r="48" spans="4:17">
      <c r="D48" s="3"/>
    </row>
    <row r="49" spans="4:4">
      <c r="D49" s="3"/>
    </row>
    <row r="50" spans="4:4">
      <c r="D50" s="3"/>
    </row>
    <row r="51" spans="4:4">
      <c r="D51" s="3"/>
    </row>
    <row r="52" spans="4:4">
      <c r="D52" s="3"/>
    </row>
  </sheetData>
  <protectedRanges>
    <protectedRange sqref="A29:D29" name="Range1"/>
  </protectedRanges>
  <phoneticPr fontId="7" type="noConversion"/>
  <hyperlinks>
    <hyperlink ref="L3360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9"/>
  <sheetViews>
    <sheetView workbookViewId="0">
      <selection activeCell="E11" sqref="E11:E13"/>
    </sheetView>
  </sheetViews>
  <sheetFormatPr defaultRowHeight="12.75"/>
  <cols>
    <col min="1" max="1" width="19.7109375" style="32" customWidth="1"/>
    <col min="2" max="2" width="4.42578125" style="12" customWidth="1"/>
    <col min="3" max="3" width="12.7109375" style="32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32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1" t="s">
        <v>45</v>
      </c>
      <c r="I1" s="33" t="s">
        <v>46</v>
      </c>
      <c r="J1" s="34" t="s">
        <v>47</v>
      </c>
    </row>
    <row r="2" spans="1:16">
      <c r="I2" s="35" t="s">
        <v>48</v>
      </c>
      <c r="J2" s="36" t="s">
        <v>49</v>
      </c>
    </row>
    <row r="3" spans="1:16">
      <c r="A3" s="37" t="s">
        <v>50</v>
      </c>
      <c r="I3" s="35" t="s">
        <v>51</v>
      </c>
      <c r="J3" s="36" t="s">
        <v>52</v>
      </c>
    </row>
    <row r="4" spans="1:16">
      <c r="I4" s="35" t="s">
        <v>53</v>
      </c>
      <c r="J4" s="36" t="s">
        <v>52</v>
      </c>
    </row>
    <row r="5" spans="1:16" ht="13.5" thickBot="1">
      <c r="I5" s="38" t="s">
        <v>54</v>
      </c>
      <c r="J5" s="39" t="s">
        <v>55</v>
      </c>
    </row>
    <row r="10" spans="1:16" ht="13.5" thickBot="1"/>
    <row r="11" spans="1:16" ht="12.75" customHeight="1" thickBot="1">
      <c r="A11" s="32" t="str">
        <f>P11</f>
        <v> JAAVSO 38;120 </v>
      </c>
      <c r="B11" s="3" t="str">
        <f>IF(H11=INT(H11),"I","II")</f>
        <v>I</v>
      </c>
      <c r="C11" s="32">
        <f>1*G11</f>
        <v>55112.281900000002</v>
      </c>
      <c r="D11" s="12" t="str">
        <f>VLOOKUP(F11,I$1:J$5,2,FALSE)</f>
        <v>vis</v>
      </c>
      <c r="E11" s="40">
        <f>VLOOKUP(C11,active!C$21:E$973,3,FALSE)</f>
        <v>4876.9357909595292</v>
      </c>
      <c r="F11" s="3" t="s">
        <v>54</v>
      </c>
      <c r="G11" s="12" t="str">
        <f>MID(I11,3,LEN(I11)-3)</f>
        <v>55112.2819</v>
      </c>
      <c r="H11" s="32">
        <f>1*K11</f>
        <v>4877</v>
      </c>
      <c r="I11" s="41" t="s">
        <v>56</v>
      </c>
      <c r="J11" s="42" t="s">
        <v>57</v>
      </c>
      <c r="K11" s="41">
        <v>4877</v>
      </c>
      <c r="L11" s="41" t="s">
        <v>58</v>
      </c>
      <c r="M11" s="42" t="s">
        <v>59</v>
      </c>
      <c r="N11" s="42" t="s">
        <v>60</v>
      </c>
      <c r="O11" s="43" t="s">
        <v>61</v>
      </c>
      <c r="P11" s="43" t="s">
        <v>62</v>
      </c>
    </row>
    <row r="12" spans="1:16" ht="12.75" customHeight="1" thickBot="1">
      <c r="A12" s="32" t="str">
        <f>P12</f>
        <v>BAVM 215 </v>
      </c>
      <c r="B12" s="3" t="str">
        <f>IF(H12=INT(H12),"I","II")</f>
        <v>II</v>
      </c>
      <c r="C12" s="32">
        <f>1*G12</f>
        <v>55418.420899999997</v>
      </c>
      <c r="D12" s="12" t="str">
        <f>VLOOKUP(F12,I$1:J$5,2,FALSE)</f>
        <v>vis</v>
      </c>
      <c r="E12" s="40">
        <f>VLOOKUP(C12,active!C$21:E$973,3,FALSE)</f>
        <v>5379.4125660637465</v>
      </c>
      <c r="F12" s="3" t="s">
        <v>54</v>
      </c>
      <c r="G12" s="12" t="str">
        <f>MID(I12,3,LEN(I12)-3)</f>
        <v>55418.4209</v>
      </c>
      <c r="H12" s="32">
        <f>1*K12</f>
        <v>5379.5</v>
      </c>
      <c r="I12" s="41" t="s">
        <v>63</v>
      </c>
      <c r="J12" s="42" t="s">
        <v>64</v>
      </c>
      <c r="K12" s="41">
        <v>5379.5</v>
      </c>
      <c r="L12" s="41" t="s">
        <v>65</v>
      </c>
      <c r="M12" s="42" t="s">
        <v>59</v>
      </c>
      <c r="N12" s="42" t="s">
        <v>66</v>
      </c>
      <c r="O12" s="43" t="s">
        <v>67</v>
      </c>
      <c r="P12" s="44" t="s">
        <v>68</v>
      </c>
    </row>
    <row r="13" spans="1:16" ht="12.75" customHeight="1" thickBot="1">
      <c r="A13" s="32" t="str">
        <f>P13</f>
        <v>BAVM 232 </v>
      </c>
      <c r="B13" s="3" t="str">
        <f>IF(H13=INT(H13),"I","II")</f>
        <v>II</v>
      </c>
      <c r="C13" s="32">
        <f>1*G13</f>
        <v>56489.484199999999</v>
      </c>
      <c r="D13" s="12" t="str">
        <f>VLOOKUP(F13,I$1:J$5,2,FALSE)</f>
        <v>vis</v>
      </c>
      <c r="E13" s="40">
        <f>VLOOKUP(C13,active!C$21:E$973,3,FALSE)</f>
        <v>7137.3866657912877</v>
      </c>
      <c r="F13" s="3" t="s">
        <v>54</v>
      </c>
      <c r="G13" s="12" t="str">
        <f>MID(I13,3,LEN(I13)-3)</f>
        <v>56489.4842</v>
      </c>
      <c r="H13" s="32">
        <f>1*K13</f>
        <v>7137.5</v>
      </c>
      <c r="I13" s="41" t="s">
        <v>69</v>
      </c>
      <c r="J13" s="42" t="s">
        <v>70</v>
      </c>
      <c r="K13" s="41" t="s">
        <v>71</v>
      </c>
      <c r="L13" s="41" t="s">
        <v>72</v>
      </c>
      <c r="M13" s="42" t="s">
        <v>59</v>
      </c>
      <c r="N13" s="42" t="s">
        <v>66</v>
      </c>
      <c r="O13" s="43" t="s">
        <v>67</v>
      </c>
      <c r="P13" s="44" t="s">
        <v>73</v>
      </c>
    </row>
    <row r="14" spans="1:16">
      <c r="B14" s="3"/>
      <c r="F14" s="3"/>
    </row>
    <row r="15" spans="1:16">
      <c r="B15" s="3"/>
      <c r="F15" s="3"/>
    </row>
    <row r="16" spans="1:16">
      <c r="B16" s="3"/>
      <c r="F16" s="3"/>
    </row>
    <row r="17" spans="2:6">
      <c r="B17" s="3"/>
      <c r="F17" s="3"/>
    </row>
    <row r="18" spans="2:6">
      <c r="B18" s="3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</sheetData>
  <phoneticPr fontId="7" type="noConversion"/>
  <hyperlinks>
    <hyperlink ref="A3" r:id="rId1"/>
    <hyperlink ref="P12" r:id="rId2" display="http://www.bav-astro.de/sfs/BAVM_link.php?BAVMnr=215"/>
    <hyperlink ref="P13" r:id="rId3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2024-01-11T05:04:22Z</dcterms:modified>
</cp:coreProperties>
</file>