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1789808-0EF4-46ED-BC0C-31298A219C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Q24" i="1"/>
  <c r="F11" i="1"/>
  <c r="Q23" i="1"/>
  <c r="E22" i="1"/>
  <c r="F22" i="1"/>
  <c r="G22" i="1" s="1"/>
  <c r="I22" i="1" s="1"/>
  <c r="E21" i="1"/>
  <c r="F21" i="1" s="1"/>
  <c r="G21" i="1" s="1"/>
  <c r="H21" i="1" s="1"/>
  <c r="Q22" i="1"/>
  <c r="G11" i="1"/>
  <c r="C7" i="1"/>
  <c r="E23" i="1"/>
  <c r="F23" i="1"/>
  <c r="G23" i="1" s="1"/>
  <c r="E24" i="1"/>
  <c r="F24" i="1" s="1"/>
  <c r="G24" i="1" s="1"/>
  <c r="C17" i="1"/>
  <c r="Q21" i="1"/>
  <c r="C11" i="1"/>
  <c r="C12" i="1"/>
  <c r="F15" i="1" l="1"/>
  <c r="C16" i="1"/>
  <c r="D18" i="1" s="1"/>
  <c r="C15" i="1"/>
  <c r="O21" i="1"/>
  <c r="O24" i="1"/>
  <c r="O23" i="1"/>
  <c r="O22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<sst xmlns="http://schemas.openxmlformats.org/spreadsheetml/2006/main" count="60" uniqueCount="52">
  <si>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</si>
  <si>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</si>
  <si>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</si>
  <si>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</si>
  <si>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</si>
  <si>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</si>
  <si>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</si>
  <si>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</si>
  <si>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</si>
  <si>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</si>
  <si>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</si>
  <si>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</si>
  <si>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</si>
  <si>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</si>
  <si>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</si>
  <si>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</si>
  <si>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</si>
  <si>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</si>
  <si>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</si>
  <si>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</si>
  <si>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</si>
  <si>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</si>
  <si>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</si>
  <si>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</si>
  <si>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</si>
  <si>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</si>
  <si>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</si>
  <si>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</si>
  <si>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</si>
  <si>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</si>
  <si>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</si>
  <si>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</si>
  <si>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</si>
  <si>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</si>
  <si>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</si>
  <si>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</si>
  <si>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</si>
  <si>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GCVS</t>
  </si>
  <si>
    <t>KO Ara / na</t>
  </si>
  <si>
    <t>EW</t>
  </si>
  <si>
    <t>Ara_KO.xls</t>
  </si>
  <si>
    <t>IBVS 5713</t>
  </si>
  <si>
    <t>I</t>
  </si>
  <si>
    <t>OEJV 0179</t>
  </si>
  <si>
    <t>OEJV 0211</t>
  </si>
  <si>
    <t>CCD</t>
  </si>
  <si>
    <t xml:space="preserve">Mag </t>
  </si>
  <si>
    <t>Add cycle</t>
  </si>
  <si>
    <t>Old Cycle</t>
  </si>
  <si>
    <t>Next ToM-P</t>
  </si>
  <si>
    <t>Next ToM-S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</si>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</sst>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20" fillId="0" borderId="0"/>
    <xf numFmtId="0" fontId="20" fillId="0" borderId="0"/>
    <xf numFmtId="0" fontId="20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9" fillId="24" borderId="0" xfId="0" applyFont="1" applyFill="1" applyAlignment="1"/>
    <xf numFmtId="0" fontId="5" fillId="0" borderId="0" xfId="42" applyFont="1"/>
    <xf numFmtId="0" fontId="5" fillId="0" borderId="0" xfId="42" applyFont="1" applyAlignment="1">
      <alignment horizontal="left"/>
    </xf>
    <xf numFmtId="0" fontId="30" fillId="0" borderId="0" xfId="41" applyFont="1"/>
    <xf numFmtId="0" fontId="30" fillId="0" borderId="0" xfId="41" applyFont="1" applyAlignment="1">
      <alignment horizontal="left"/>
    </xf>
    <xf numFmtId="0" fontId="6" fillId="25" borderId="11" xfId="0" applyFont="1" applyFill="1" applyBorder="1" applyAlignment="1">
      <alignment horizontal="right" vertical="center"/>
    </xf>
    <xf numFmtId="0" fontId="6" fillId="25" borderId="12" xfId="0" applyFont="1" applyFill="1" applyBorder="1" applyAlignment="1">
      <alignment horizontal="center" vertical="center"/>
    </xf>
    <xf numFmtId="0" fontId="31" fillId="0" borderId="13" xfId="0" applyFont="1" applyBorder="1" applyAlignment="1">
      <alignment horizontal="right" vertical="center"/>
    </xf>
    <xf numFmtId="0" fontId="33" fillId="0" borderId="14" xfId="0" applyFont="1" applyBorder="1" applyAlignment="1">
      <alignment horizontal="right" vertical="center"/>
    </xf>
    <xf numFmtId="0" fontId="32" fillId="0" borderId="14" xfId="0" applyFont="1" applyBorder="1" applyAlignment="1">
      <alignment horizontal="right" vertical="center"/>
    </xf>
    <xf numFmtId="22" fontId="31" fillId="0" borderId="13" xfId="0" applyNumberFormat="1" applyFont="1" applyBorder="1" applyAlignment="1">
      <alignment horizontal="right" vertical="center"/>
    </xf>
    <xf numFmtId="22" fontId="32" fillId="0" borderId="14" xfId="0" applyNumberFormat="1" applyFont="1" applyBorder="1" applyAlignment="1">
      <alignment horizontal="right" vertical="center"/>
    </xf>
    <xf numFmtId="22" fontId="32" fillId="0" borderId="15" xfId="0" applyNumberFormat="1" applyFont="1" applyBorder="1" applyAlignment="1">
      <alignment horizontal="right" vertical="center"/>
    </xf>
    <xf numFmtId="0" fontId="31" fillId="0" borderId="16" xfId="0" applyFont="1" applyBorder="1" applyAlignment="1">
      <alignment horizontal="right" vertical="center"/>
    </xf>
    <xf numFmtId="0" fontId="6" fillId="0" borderId="0" xfId="0" applyFont="1" applyAlignment="1"/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42" applyFont="1" applyAlignment="1">
      <alignment horizontal="center" vertical="center"/>
    </xf>
    <xf numFmtId="0" fontId="30" fillId="0" borderId="0" xfId="41" applyFont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KO Ara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1126</c:v>
                </c:pt>
                <c:pt idx="2">
                  <c:v>10459.5</c:v>
                </c:pt>
                <c:pt idx="3">
                  <c:v>12469.5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FA-4B6C-B68F-EF19D784A13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1126</c:v>
                </c:pt>
                <c:pt idx="2">
                  <c:v>10459.5</c:v>
                </c:pt>
                <c:pt idx="3">
                  <c:v>12469.5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-3.4849999938160181E-3</c:v>
                </c:pt>
                <c:pt idx="2">
                  <c:v>-0.17140800000197487</c:v>
                </c:pt>
                <c:pt idx="3">
                  <c:v>-0.19532800010347273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EFA-4B6C-B68F-EF19D784A13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1126</c:v>
                </c:pt>
                <c:pt idx="2">
                  <c:v>10459.5</c:v>
                </c:pt>
                <c:pt idx="3">
                  <c:v>12469.5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EFA-4B6C-B68F-EF19D784A13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1126</c:v>
                </c:pt>
                <c:pt idx="2">
                  <c:v>10459.5</c:v>
                </c:pt>
                <c:pt idx="3">
                  <c:v>12469.5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EFA-4B6C-B68F-EF19D784A13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1126</c:v>
                </c:pt>
                <c:pt idx="2">
                  <c:v>10459.5</c:v>
                </c:pt>
                <c:pt idx="3">
                  <c:v>12469.5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EFA-4B6C-B68F-EF19D784A13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1126</c:v>
                </c:pt>
                <c:pt idx="2">
                  <c:v>10459.5</c:v>
                </c:pt>
                <c:pt idx="3">
                  <c:v>12469.5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EFA-4B6C-B68F-EF19D784A13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1126</c:v>
                </c:pt>
                <c:pt idx="2">
                  <c:v>10459.5</c:v>
                </c:pt>
                <c:pt idx="3">
                  <c:v>12469.5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EFA-4B6C-B68F-EF19D784A13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1126</c:v>
                </c:pt>
                <c:pt idx="2">
                  <c:v>10459.5</c:v>
                </c:pt>
                <c:pt idx="3">
                  <c:v>12469.5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6.2776595576384125E-3</c:v>
                </c:pt>
                <c:pt idx="1">
                  <c:v>-1.4572328126937362E-2</c:v>
                </c:pt>
                <c:pt idx="2">
                  <c:v>-0.18739946849459987</c:v>
                </c:pt>
                <c:pt idx="3">
                  <c:v>-0.22461836302923338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EFA-4B6C-B68F-EF19D784A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6265032"/>
        <c:axId val="1"/>
      </c:scatterChart>
      <c:valAx>
        <c:axId val="586265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6265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609022556390977"/>
          <c:y val="0.92375366568914952"/>
          <c:w val="0.6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3C51598-A641-F43C-EEE0-943BCADC79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71093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9" ht="20.25" x14ac:dyDescent="0.3">
      <c r="A1" s="1" t="s">
        <v>38</v>
      </c>
      <c r="F1">
        <v>53122.798999999999</v>
      </c>
      <c r="G1">
        <v>0.38256200000000001</v>
      </c>
      <c r="H1" t="s">
        <v>39</v>
      </c>
      <c r="I1" t="s">
        <v>40</v>
      </c>
    </row>
    <row r="2" spans="1:9" x14ac:dyDescent="0.2">
      <c r="A2" t="s">
        <v>25</v>
      </c>
      <c r="B2" t="s">
        <v>39</v>
      </c>
      <c r="C2" s="3"/>
      <c r="D2" s="3"/>
      <c r="E2" t="s">
        <v>40</v>
      </c>
    </row>
    <row r="3" spans="1:9" ht="13.5" thickBot="1" x14ac:dyDescent="0.25"/>
    <row r="4" spans="1:9" ht="14.25" thickTop="1" thickBot="1" x14ac:dyDescent="0.25">
      <c r="A4" s="5" t="s">
        <v>0</v>
      </c>
      <c r="C4" s="8">
        <v>53122.798999999999</v>
      </c>
      <c r="D4" s="9">
        <v>0.38256200000000001</v>
      </c>
    </row>
    <row r="6" spans="1:9" x14ac:dyDescent="0.2">
      <c r="A6" s="5" t="s">
        <v>1</v>
      </c>
    </row>
    <row r="7" spans="1:9" x14ac:dyDescent="0.2">
      <c r="A7" t="s">
        <v>2</v>
      </c>
      <c r="C7">
        <f>+C4</f>
        <v>53122.798999999999</v>
      </c>
      <c r="D7" s="41" t="s">
        <v>51</v>
      </c>
    </row>
    <row r="8" spans="1:9" x14ac:dyDescent="0.2">
      <c r="A8" t="s">
        <v>3</v>
      </c>
      <c r="C8">
        <v>0.38254749999999998</v>
      </c>
      <c r="D8" s="41" t="s">
        <v>51</v>
      </c>
    </row>
    <row r="9" spans="1:9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9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9" x14ac:dyDescent="0.2">
      <c r="A11" s="12" t="s">
        <v>16</v>
      </c>
      <c r="B11" s="12"/>
      <c r="C11" s="21">
        <f ca="1">INTERCEPT(INDIRECT($G$11):G992,INDIRECT($F$11):F992)</f>
        <v>6.2776595576384125E-3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9" x14ac:dyDescent="0.2">
      <c r="A12" s="12" t="s">
        <v>17</v>
      </c>
      <c r="B12" s="12"/>
      <c r="C12" s="21">
        <f ca="1">SLOPE(INDIRECT($G$11):G992,INDIRECT($F$11):F992)</f>
        <v>-1.8516862952553976E-5</v>
      </c>
      <c r="D12" s="3"/>
      <c r="E12" s="32" t="s">
        <v>46</v>
      </c>
      <c r="F12" s="33"/>
    </row>
    <row r="13" spans="1:9" x14ac:dyDescent="0.2">
      <c r="A13" s="12" t="s">
        <v>20</v>
      </c>
      <c r="B13" s="12"/>
      <c r="C13" s="3" t="s">
        <v>14</v>
      </c>
      <c r="D13" s="3"/>
      <c r="E13" s="34" t="s">
        <v>47</v>
      </c>
      <c r="F13" s="35">
        <v>1</v>
      </c>
    </row>
    <row r="14" spans="1:9" x14ac:dyDescent="0.2">
      <c r="A14" s="12"/>
      <c r="B14" s="12"/>
      <c r="C14" s="12"/>
      <c r="D14" s="12"/>
      <c r="E14" s="34" t="s">
        <v>33</v>
      </c>
      <c r="F14" s="36">
        <f ca="1">NOW()+15018.5+$C$9/24</f>
        <v>60514.761068865737</v>
      </c>
    </row>
    <row r="15" spans="1:9" x14ac:dyDescent="0.2">
      <c r="A15" s="14" t="s">
        <v>18</v>
      </c>
      <c r="B15" s="12"/>
      <c r="C15" s="15">
        <f ca="1">(C7+C11)+(C8+C12)*INT(MAX(F21:F3533))</f>
        <v>57892.559168395404</v>
      </c>
      <c r="D15" s="16" t="s">
        <v>33</v>
      </c>
      <c r="E15" s="34" t="s">
        <v>48</v>
      </c>
      <c r="F15" s="36">
        <f ca="1">ROUND(2*($F$14-$C$7)/$C$8,0)/2+$F$13</f>
        <v>19324</v>
      </c>
    </row>
    <row r="16" spans="1:9" x14ac:dyDescent="0.2">
      <c r="A16" s="17" t="s">
        <v>4</v>
      </c>
      <c r="B16" s="12"/>
      <c r="C16" s="18">
        <f ca="1">+C8+C12</f>
        <v>0.38252898313704742</v>
      </c>
      <c r="D16" s="16" t="s">
        <v>34</v>
      </c>
      <c r="E16" s="34" t="s">
        <v>34</v>
      </c>
      <c r="F16" s="36">
        <f ca="1">ROUND(2*($F$14-$C$15)/$C$16,0)/2+$F$13</f>
        <v>6856</v>
      </c>
    </row>
    <row r="17" spans="1:17" ht="13.5" thickBot="1" x14ac:dyDescent="0.25">
      <c r="A17" s="16" t="s">
        <v>30</v>
      </c>
      <c r="B17" s="12"/>
      <c r="C17" s="12">
        <f>COUNT(C21:C2191)</f>
        <v>4</v>
      </c>
      <c r="D17" s="16" t="s">
        <v>35</v>
      </c>
      <c r="E17" s="37" t="s">
        <v>49</v>
      </c>
      <c r="F17" s="38">
        <f ca="1">+$C$15+$C$16*$F$16-15018.5-$C$9/24</f>
        <v>45497.073710116339</v>
      </c>
    </row>
    <row r="18" spans="1:17" ht="14.25" thickTop="1" thickBot="1" x14ac:dyDescent="0.25">
      <c r="A18" s="17" t="s">
        <v>5</v>
      </c>
      <c r="B18" s="12"/>
      <c r="C18" s="19">
        <f ca="1">+C15</f>
        <v>57892.559168395404</v>
      </c>
      <c r="D18" s="20">
        <f ca="1">+C16</f>
        <v>0.38252898313704742</v>
      </c>
      <c r="E18" s="40" t="s">
        <v>50</v>
      </c>
      <c r="F18" s="39">
        <f ca="1">+($C$15+$C$16*$F$16)-($C$16/2)-15018.5-$C$9/24</f>
        <v>45496.882445624768</v>
      </c>
    </row>
    <row r="19" spans="1:17" ht="13.5" thickTop="1" x14ac:dyDescent="0.2">
      <c r="A19" s="24" t="s">
        <v>36</v>
      </c>
      <c r="B19" s="42"/>
      <c r="E19" s="25">
        <v>21</v>
      </c>
    </row>
    <row r="20" spans="1:17" ht="13.5" thickBot="1" x14ac:dyDescent="0.25">
      <c r="A20" s="4" t="s">
        <v>6</v>
      </c>
      <c r="B20" s="43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45</v>
      </c>
      <c r="J20" s="7" t="s">
        <v>19</v>
      </c>
      <c r="K20" s="7" t="s">
        <v>26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</row>
    <row r="21" spans="1:17" x14ac:dyDescent="0.2">
      <c r="A21" t="s">
        <v>12</v>
      </c>
      <c r="B21" s="42"/>
      <c r="C21" s="10">
        <v>53122.798999999999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6.2776595576384125E-3</v>
      </c>
      <c r="Q21" s="2">
        <f>+C21-15018.5</f>
        <v>38104.298999999999</v>
      </c>
    </row>
    <row r="22" spans="1:17" x14ac:dyDescent="0.2">
      <c r="A22" s="26" t="s">
        <v>41</v>
      </c>
      <c r="B22" s="44" t="s">
        <v>42</v>
      </c>
      <c r="C22" s="26">
        <v>53553.544000000002</v>
      </c>
      <c r="D22" s="26">
        <v>4.0000000000000001E-3</v>
      </c>
      <c r="E22">
        <f>+(C22-C$7)/C$8</f>
        <v>1125.9908900202004</v>
      </c>
      <c r="F22">
        <f>ROUND(2*E22,0)/2</f>
        <v>1126</v>
      </c>
      <c r="G22">
        <f>+C22-(C$7+F22*C$8)</f>
        <v>-3.4849999938160181E-3</v>
      </c>
      <c r="I22">
        <f>+G22</f>
        <v>-3.4849999938160181E-3</v>
      </c>
      <c r="O22">
        <f ca="1">+C$11+C$12*$F22</f>
        <v>-1.4572328126937362E-2</v>
      </c>
      <c r="Q22" s="2">
        <f>+C22-15018.5</f>
        <v>38535.044000000002</v>
      </c>
    </row>
    <row r="23" spans="1:17" x14ac:dyDescent="0.2">
      <c r="A23" s="28" t="s">
        <v>43</v>
      </c>
      <c r="B23" s="45" t="s">
        <v>42</v>
      </c>
      <c r="C23" s="29">
        <v>57123.843549999998</v>
      </c>
      <c r="D23" s="29">
        <v>2.0000000000000001E-4</v>
      </c>
      <c r="E23">
        <f>+(C23-C$7)/C$8</f>
        <v>10458.9483658892</v>
      </c>
      <c r="F23" s="27">
        <f>ROUND(2*E23,0)/2+0.5</f>
        <v>10459.5</v>
      </c>
      <c r="G23">
        <f>+C23-(C$7+F23*C$8)</f>
        <v>-0.21102624999912223</v>
      </c>
      <c r="I23">
        <v>-0.17140800000197487</v>
      </c>
      <c r="O23">
        <f ca="1">+C$11+C$12*$F23</f>
        <v>-0.18739946849459987</v>
      </c>
      <c r="Q23" s="2">
        <f>+C23-15018.5</f>
        <v>42105.343549999998</v>
      </c>
    </row>
    <row r="24" spans="1:17" x14ac:dyDescent="0.2">
      <c r="A24" s="30" t="s">
        <v>44</v>
      </c>
      <c r="B24" s="46" t="s">
        <v>42</v>
      </c>
      <c r="C24" s="31">
        <v>57892.769249999896</v>
      </c>
      <c r="D24" s="31">
        <v>1E-4</v>
      </c>
      <c r="E24">
        <f>+(C24-C$7)/C$8</f>
        <v>12468.962024323508</v>
      </c>
      <c r="F24" s="27">
        <f>ROUND(2*E24,0)/2+0.5</f>
        <v>12469.5</v>
      </c>
      <c r="G24">
        <f>+C24-(C$7+F24*C$8)</f>
        <v>-0.20580125010019401</v>
      </c>
      <c r="I24">
        <v>-0.19532800010347273</v>
      </c>
      <c r="O24">
        <f ca="1">+C$11+C$12*$F24</f>
        <v>-0.22461836302923338</v>
      </c>
      <c r="Q24" s="2">
        <f>+C24-15018.5</f>
        <v>42874.269249999896</v>
      </c>
    </row>
    <row r="25" spans="1:17" x14ac:dyDescent="0.2">
      <c r="B25" s="42"/>
      <c r="C25" s="10"/>
      <c r="D25" s="10"/>
      <c r="Q25" s="2"/>
    </row>
    <row r="26" spans="1:17" x14ac:dyDescent="0.2">
      <c r="B26" s="42"/>
      <c r="C26" s="10"/>
      <c r="D26" s="10"/>
      <c r="Q26" s="2"/>
    </row>
    <row r="27" spans="1:17" x14ac:dyDescent="0.2">
      <c r="B27" s="42"/>
      <c r="C27" s="10"/>
      <c r="D27" s="10"/>
      <c r="Q27" s="2"/>
    </row>
    <row r="28" spans="1:17" x14ac:dyDescent="0.2">
      <c r="B28" s="42"/>
      <c r="C28" s="10"/>
      <c r="D28" s="10"/>
      <c r="Q28" s="2"/>
    </row>
    <row r="29" spans="1:17" x14ac:dyDescent="0.2">
      <c r="B29" s="42"/>
      <c r="C29" s="10"/>
      <c r="D29" s="10"/>
      <c r="Q29" s="2"/>
    </row>
    <row r="30" spans="1:17" x14ac:dyDescent="0.2">
      <c r="B30" s="42"/>
      <c r="C30" s="10"/>
      <c r="D30" s="10"/>
      <c r="Q30" s="2"/>
    </row>
    <row r="31" spans="1:17" x14ac:dyDescent="0.2">
      <c r="B31" s="42"/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rotectedRanges>
    <protectedRange sqref="A24:D24" name="Range1"/>
  </protectedRanges>
  <phoneticPr fontId="8" type="noConversion"/>
  <hyperlinks>
    <hyperlink ref="H3291" r:id="rId1" display="http://vsolj.cetus-net.org/bulletin.html" xr:uid="{00000000-0004-0000-0000-000000000000}"/>
  </hyperlinks>
  <pageMargins left="0.75" right="0.75" top="1" bottom="1" header="0.5" footer="0.5"/>
  <pageSetup orientation="portrait" verticalDpi="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2024-07-23T06:15:56Z</dcterms:modified>
</cp:coreProperties>
</file>