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4DD4656-F6FE-4399-BB58-807B12A18E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D14" i="1" l="1"/>
  <c r="C14" i="1"/>
  <c r="D13" i="1"/>
  <c r="C13" i="1"/>
  <c r="E29" i="1"/>
  <c r="F29" i="1" s="1"/>
  <c r="G29" i="1" s="1"/>
  <c r="J29" i="1" s="1"/>
  <c r="Q29" i="1"/>
  <c r="F13" i="1"/>
  <c r="F14" i="1" s="1"/>
  <c r="R29" i="1"/>
  <c r="Q33" i="1"/>
  <c r="Q34" i="1"/>
  <c r="C17" i="1"/>
  <c r="E22" i="1"/>
  <c r="F22" i="1" s="1"/>
  <c r="G22" i="1" s="1"/>
  <c r="E27" i="1"/>
  <c r="F27" i="1" s="1"/>
  <c r="G27" i="1" s="1"/>
  <c r="I27" i="1" s="1"/>
  <c r="Q22" i="1"/>
  <c r="Q23" i="1"/>
  <c r="Q24" i="1"/>
  <c r="Q25" i="1"/>
  <c r="Q26" i="1"/>
  <c r="Q27" i="1"/>
  <c r="Q28" i="1"/>
  <c r="Q30" i="1"/>
  <c r="Q31" i="1"/>
  <c r="Q32" i="1"/>
  <c r="E34" i="1"/>
  <c r="F34" i="1" s="1"/>
  <c r="G34" i="1" s="1"/>
  <c r="Q21" i="1"/>
  <c r="E31" i="1"/>
  <c r="F31" i="1"/>
  <c r="G31" i="1" s="1"/>
  <c r="S31" i="1" s="1"/>
  <c r="E24" i="1"/>
  <c r="F24" i="1" s="1"/>
  <c r="G24" i="1" s="1"/>
  <c r="E21" i="1"/>
  <c r="F21" i="1" s="1"/>
  <c r="E30" i="1"/>
  <c r="F30" i="1" s="1"/>
  <c r="G30" i="1" s="1"/>
  <c r="S30" i="1" s="1"/>
  <c r="E33" i="1"/>
  <c r="F33" i="1" s="1"/>
  <c r="G33" i="1" s="1"/>
  <c r="E23" i="1"/>
  <c r="F23" i="1" s="1"/>
  <c r="G23" i="1" s="1"/>
  <c r="R23" i="1" s="1"/>
  <c r="E28" i="1"/>
  <c r="F28" i="1" s="1"/>
  <c r="G28" i="1" s="1"/>
  <c r="I28" i="1" s="1"/>
  <c r="E26" i="1"/>
  <c r="F26" i="1" s="1"/>
  <c r="G26" i="1" s="1"/>
  <c r="E32" i="1"/>
  <c r="F32" i="1" s="1"/>
  <c r="G32" i="1" s="1"/>
  <c r="I32" i="1" s="1"/>
  <c r="E25" i="1"/>
  <c r="F25" i="1" s="1"/>
  <c r="G25" i="1" s="1"/>
  <c r="R25" i="1" s="1"/>
  <c r="D12" i="1"/>
  <c r="C12" i="1"/>
  <c r="D11" i="1"/>
  <c r="C11" i="1"/>
  <c r="J33" i="1" l="1"/>
  <c r="R33" i="1"/>
  <c r="I22" i="1"/>
  <c r="S22" i="1"/>
  <c r="R34" i="1"/>
  <c r="J34" i="1"/>
  <c r="G21" i="1"/>
  <c r="H21" i="1" s="1"/>
  <c r="R24" i="1"/>
  <c r="I24" i="1"/>
  <c r="R26" i="1"/>
  <c r="I26" i="1"/>
  <c r="I31" i="1"/>
  <c r="I30" i="1"/>
  <c r="R28" i="1"/>
  <c r="S32" i="1"/>
  <c r="I23" i="1"/>
  <c r="I25" i="1"/>
  <c r="S27" i="1"/>
  <c r="R19" i="1" l="1"/>
  <c r="E19" i="1"/>
  <c r="S19" i="1"/>
  <c r="D16" i="1"/>
  <c r="D19" i="1" s="1"/>
  <c r="C16" i="1"/>
  <c r="D18" i="1" s="1"/>
  <c r="E18" i="1"/>
  <c r="O29" i="1" l="1"/>
  <c r="P29" i="1"/>
  <c r="P22" i="1"/>
  <c r="P28" i="1"/>
  <c r="P32" i="1"/>
  <c r="P34" i="1"/>
  <c r="P23" i="1"/>
  <c r="P26" i="1"/>
  <c r="P21" i="1"/>
  <c r="P33" i="1"/>
  <c r="P31" i="1"/>
  <c r="P24" i="1"/>
  <c r="P25" i="1"/>
  <c r="D15" i="1"/>
  <c r="C19" i="1" s="1"/>
  <c r="P27" i="1"/>
  <c r="P30" i="1"/>
  <c r="O33" i="1"/>
  <c r="O32" i="1"/>
  <c r="O26" i="1"/>
  <c r="O25" i="1"/>
  <c r="O30" i="1"/>
  <c r="C15" i="1"/>
  <c r="O27" i="1"/>
  <c r="O23" i="1"/>
  <c r="O31" i="1"/>
  <c r="O34" i="1"/>
  <c r="O24" i="1"/>
  <c r="O21" i="1"/>
  <c r="O22" i="1"/>
  <c r="O28" i="1"/>
  <c r="C18" i="1" l="1"/>
  <c r="F15" i="1"/>
  <c r="F17" i="1" s="1"/>
  <c r="F16" i="1" l="1"/>
</calcChain>
</file>

<file path=xl/sharedStrings.xml><?xml version="1.0" encoding="utf-8"?>
<sst xmlns="http://schemas.openxmlformats.org/spreadsheetml/2006/main" count="100" uniqueCount="56">
  <si>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</si>
  <si>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</si>
  <si>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</si>
  <si>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</si>
  <si>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</si>
  <si>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</si>
  <si>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</si>
  <si>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</si>
  <si>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</si>
  <si>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</si>
  <si>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</si>
  <si>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</si>
  <si>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</si>
  <si>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</si>
  <si>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</si>
  <si>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</si>
  <si>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</si>
  <si>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</si>
  <si>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</si>
  <si>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System Type:</t>
  </si>
  <si>
    <t>S4</t>
  </si>
  <si>
    <t>S5</t>
  </si>
  <si>
    <t>Misc</t>
  </si>
  <si>
    <t>phe</t>
  </si>
  <si>
    <t>AsAp 308,151</t>
  </si>
  <si>
    <t>K</t>
  </si>
  <si>
    <t>II</t>
  </si>
  <si>
    <t>Primary</t>
  </si>
  <si>
    <t>Secondary</t>
  </si>
  <si>
    <t>Prim Fit</t>
  </si>
  <si>
    <t>Sec. Fit</t>
  </si>
  <si>
    <t>Eccentric orbit</t>
  </si>
  <si>
    <t>Prim. Ephemeris =</t>
  </si>
  <si>
    <t>Sec. Ephemeris =</t>
  </si>
  <si>
    <t># of data points:</t>
  </si>
  <si>
    <t>EA/DM</t>
  </si>
  <si>
    <t>OEJV 0130</t>
  </si>
  <si>
    <t>I</t>
  </si>
  <si>
    <t>My time zone</t>
  </si>
  <si>
    <t>Remove "0"</t>
  </si>
  <si>
    <t>Add cycle</t>
  </si>
  <si>
    <t>JD today</t>
  </si>
  <si>
    <t>Old Cycle</t>
  </si>
  <si>
    <t>New Cycle</t>
  </si>
  <si>
    <t>CCD</t>
  </si>
  <si>
    <t>V0539 Ara / HD161783</t>
  </si>
  <si>
    <t xml:space="preserve">Mag </t>
  </si>
  <si>
    <t>Next ToM-P</t>
  </si>
  <si>
    <t>Next ToM-S</t>
  </si>
  <si>
    <t>VSX</t>
  </si>
  <si>
    <t>PE?</t>
  </si>
  <si>
    <t>Start linear fit row&gt;&gt;&gt;</t>
  </si>
  <si>
    <t>Start cell (x)</t>
  </si>
  <si>
    <t>Start cell (y)</t>
  </si>
  <si>
    <t>5.71-6.24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</si>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</sst>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12" fillId="0" borderId="0" xfId="0" applyFont="1" applyAlignment="1"/>
    <xf numFmtId="0" fontId="5" fillId="0" borderId="9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4" fontId="13" fillId="0" borderId="0" xfId="0" applyNumberFormat="1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7" fillId="0" borderId="0" xfId="0" applyFont="1" applyAlignment="1"/>
    <xf numFmtId="0" fontId="15" fillId="0" borderId="0" xfId="0" applyFont="1">
      <alignment vertical="top"/>
    </xf>
    <xf numFmtId="0" fontId="16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0" fillId="0" borderId="0" xfId="0" applyAlignment="1">
      <alignment horizontal="center" vertical="center"/>
    </xf>
    <xf numFmtId="0" fontId="18" fillId="2" borderId="10" xfId="0" applyFont="1" applyFill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20" fillId="0" borderId="13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22" fontId="19" fillId="0" borderId="13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22" fontId="19" fillId="0" borderId="15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21" fillId="0" borderId="0" xfId="0" applyFont="1" applyAlignment="1"/>
    <xf numFmtId="0" fontId="2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4" xfId="0" applyBorder="1" applyAlignment="1"/>
    <xf numFmtId="0" fontId="21" fillId="0" borderId="4" xfId="0" applyFont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b="0"/>
              <a:t>V0539 Ara - O-C Diagr</a:t>
            </a:r>
            <a:r>
              <a:rPr lang="en-AU"/>
              <a:t>.</a:t>
            </a:r>
          </a:p>
        </c:rich>
      </c:tx>
      <c:layout>
        <c:manualLayout>
          <c:xMode val="edge"/>
          <c:yMode val="edge"/>
          <c:x val="0.38518562957408098"/>
          <c:y val="2.9411764705882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4166943920742"/>
          <c:y val="0.12549055601178688"/>
          <c:w val="0.82963048696933595"/>
          <c:h val="0.698040552314170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4.8478999997314531E-2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7A-455C-9A74-EA3A73A0FEF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1">
                  <c:v>4.7021999998833053E-2</c:v>
                </c:pt>
                <c:pt idx="2">
                  <c:v>0.10063699999591336</c:v>
                </c:pt>
                <c:pt idx="3">
                  <c:v>9.970900000189431E-2</c:v>
                </c:pt>
                <c:pt idx="4">
                  <c:v>9.6302999998442829E-2</c:v>
                </c:pt>
                <c:pt idx="5">
                  <c:v>9.135499999683816E-2</c:v>
                </c:pt>
                <c:pt idx="6">
                  <c:v>2.8679999959422275E-3</c:v>
                </c:pt>
                <c:pt idx="7">
                  <c:v>8.8632999999390449E-2</c:v>
                </c:pt>
                <c:pt idx="9">
                  <c:v>-1.063800000702031E-2</c:v>
                </c:pt>
                <c:pt idx="10">
                  <c:v>-1.1405999997805338E-2</c:v>
                </c:pt>
                <c:pt idx="11">
                  <c:v>-9.8000000070896931E-3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7A-455C-9A74-EA3A73A0FEF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8">
                  <c:v>0</c:v>
                </c:pt>
                <c:pt idx="12">
                  <c:v>5.7993000002170447E-2</c:v>
                </c:pt>
                <c:pt idx="13">
                  <c:v>5.752300000312971E-2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7A-455C-9A74-EA3A73A0FEF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7A-455C-9A74-EA3A73A0FEF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7A-455C-9A74-EA3A73A0FEF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7A-455C-9A74-EA3A73A0FEF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7A-455C-9A74-EA3A73A0FEF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0.11433158717368434</c:v>
                </c:pt>
                <c:pt idx="1">
                  <c:v>9.130631235941597E-2</c:v>
                </c:pt>
                <c:pt idx="2">
                  <c:v>8.8421019040635443E-2</c:v>
                </c:pt>
                <c:pt idx="3">
                  <c:v>8.7000566945235794E-2</c:v>
                </c:pt>
                <c:pt idx="4">
                  <c:v>8.2574336755106545E-2</c:v>
                </c:pt>
                <c:pt idx="5">
                  <c:v>7.9505145620403742E-2</c:v>
                </c:pt>
                <c:pt idx="6">
                  <c:v>7.8103717436996054E-2</c:v>
                </c:pt>
                <c:pt idx="7">
                  <c:v>7.8072010917009452E-2</c:v>
                </c:pt>
                <c:pt idx="8">
                  <c:v>7.6556439261650011E-2</c:v>
                </c:pt>
                <c:pt idx="9">
                  <c:v>7.3677487246866805E-2</c:v>
                </c:pt>
                <c:pt idx="10">
                  <c:v>7.3398469870984723E-2</c:v>
                </c:pt>
                <c:pt idx="11">
                  <c:v>7.3385787262990082E-2</c:v>
                </c:pt>
                <c:pt idx="12">
                  <c:v>5.0043447248855732E-2</c:v>
                </c:pt>
                <c:pt idx="13">
                  <c:v>4.9980034208882529E-2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7A-455C-9A74-EA3A73A0FEF0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1'!$P$21:$P$993</c:f>
              <c:numCache>
                <c:formatCode>General</c:formatCode>
                <c:ptCount val="973"/>
                <c:pt idx="0">
                  <c:v>5.9246769647141637E-2</c:v>
                </c:pt>
                <c:pt idx="1">
                  <c:v>2.2647270271392024E-2</c:v>
                </c:pt>
                <c:pt idx="2">
                  <c:v>1.8060993153252096E-2</c:v>
                </c:pt>
                <c:pt idx="3">
                  <c:v>1.5803133648937054E-2</c:v>
                </c:pt>
                <c:pt idx="4">
                  <c:v>8.7674821578125062E-3</c:v>
                </c:pt>
                <c:pt idx="5">
                  <c:v>3.8888928717032215E-3</c:v>
                </c:pt>
                <c:pt idx="6">
                  <c:v>1.6612725571781141E-3</c:v>
                </c:pt>
                <c:pt idx="7">
                  <c:v>1.610873907528225E-3</c:v>
                </c:pt>
                <c:pt idx="8">
                  <c:v>-7.9818154573648402E-4</c:v>
                </c:pt>
                <c:pt idx="9">
                  <c:v>-5.3743789339464332E-3</c:v>
                </c:pt>
                <c:pt idx="10">
                  <c:v>-5.8178870508654593E-3</c:v>
                </c:pt>
                <c:pt idx="11">
                  <c:v>-5.8380465107254146E-3</c:v>
                </c:pt>
                <c:pt idx="12">
                  <c:v>-4.2941532382973921E-2</c:v>
                </c:pt>
                <c:pt idx="13">
                  <c:v>-4.30423296822737E-2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7A-455C-9A74-EA3A73A0FEF0}"/>
            </c:ext>
          </c:extLst>
        </c:ser>
        <c:ser>
          <c:idx val="10"/>
          <c:order val="1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1'!$R$21:$R$993</c:f>
              <c:numCache>
                <c:formatCode>General</c:formatCode>
                <c:ptCount val="973"/>
                <c:pt idx="2">
                  <c:v>0.10063699999591336</c:v>
                </c:pt>
                <c:pt idx="3">
                  <c:v>9.970900000189431E-2</c:v>
                </c:pt>
                <c:pt idx="4">
                  <c:v>9.6302999998442829E-2</c:v>
                </c:pt>
                <c:pt idx="5">
                  <c:v>9.135499999683816E-2</c:v>
                </c:pt>
                <c:pt idx="7">
                  <c:v>8.8632999999390449E-2</c:v>
                </c:pt>
                <c:pt idx="8">
                  <c:v>0</c:v>
                </c:pt>
                <c:pt idx="12">
                  <c:v>5.7993000002170447E-2</c:v>
                </c:pt>
                <c:pt idx="13">
                  <c:v>5.752300000312971E-2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26-4E6C-A5A6-9258C866E4D1}"/>
            </c:ext>
          </c:extLst>
        </c:ser>
        <c:ser>
          <c:idx val="11"/>
          <c:order val="11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1'!$S$21:$S$993</c:f>
              <c:numCache>
                <c:formatCode>General</c:formatCode>
                <c:ptCount val="973"/>
                <c:pt idx="0">
                  <c:v>4.8478999997314531E-2</c:v>
                </c:pt>
                <c:pt idx="1">
                  <c:v>4.7021999998833053E-2</c:v>
                </c:pt>
                <c:pt idx="6">
                  <c:v>2.8679999959422275E-3</c:v>
                </c:pt>
                <c:pt idx="9">
                  <c:v>-1.063800000702031E-2</c:v>
                </c:pt>
                <c:pt idx="10">
                  <c:v>-1.1405999997805338E-2</c:v>
                </c:pt>
                <c:pt idx="11">
                  <c:v>-9.8000000070896931E-3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26-4E6C-A5A6-9258C866E4D1}"/>
            </c:ext>
          </c:extLst>
        </c:ser>
        <c:ser>
          <c:idx val="14"/>
          <c:order val="14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1'!$V$21:$V$993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26-4E6C-A5A6-9258C866E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147504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'Active 1'!$F$21:$F$993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-2978.5</c:v>
                      </c:pt>
                      <c:pt idx="1">
                        <c:v>-1163</c:v>
                      </c:pt>
                      <c:pt idx="2">
                        <c:v>-935.5</c:v>
                      </c:pt>
                      <c:pt idx="3">
                        <c:v>-823.5</c:v>
                      </c:pt>
                      <c:pt idx="4">
                        <c:v>-474.5</c:v>
                      </c:pt>
                      <c:pt idx="5">
                        <c:v>-232.5</c:v>
                      </c:pt>
                      <c:pt idx="6">
                        <c:v>-122</c:v>
                      </c:pt>
                      <c:pt idx="7">
                        <c:v>-119.5</c:v>
                      </c:pt>
                      <c:pt idx="8">
                        <c:v>0</c:v>
                      </c:pt>
                      <c:pt idx="9">
                        <c:v>227</c:v>
                      </c:pt>
                      <c:pt idx="10">
                        <c:v>249</c:v>
                      </c:pt>
                      <c:pt idx="11">
                        <c:v>250</c:v>
                      </c:pt>
                      <c:pt idx="12">
                        <c:v>2090.5</c:v>
                      </c:pt>
                      <c:pt idx="13">
                        <c:v>2095.5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1'!$Q$21:$Q$993</c15:sqref>
                        </c15:formulaRef>
                      </c:ext>
                    </c:extLst>
                    <c:numCache>
                      <c:formatCode>m/d/yyyy</c:formatCode>
                      <c:ptCount val="973"/>
                      <c:pt idx="0">
                        <c:v>24295.841999999997</c:v>
                      </c:pt>
                      <c:pt idx="1">
                        <c:v>30049.330699999999</c:v>
                      </c:pt>
                      <c:pt idx="2">
                        <c:v>30770.353199999998</c:v>
                      </c:pt>
                      <c:pt idx="3">
                        <c:v>31125.290800000002</c:v>
                      </c:pt>
                      <c:pt idx="4">
                        <c:v>32231.301200000002</c:v>
                      </c:pt>
                      <c:pt idx="5">
                        <c:v>32998.216999999997</c:v>
                      </c:pt>
                      <c:pt idx="6">
                        <c:v>33348.313399999999</c:v>
                      </c:pt>
                      <c:pt idx="7">
                        <c:v>33356.321900000003</c:v>
                      </c:pt>
                      <c:pt idx="8">
                        <c:v>33734.94</c:v>
                      </c:pt>
                      <c:pt idx="9">
                        <c:v>34454.313699999999</c:v>
                      </c:pt>
                      <c:pt idx="10">
                        <c:v>34524.033000000003</c:v>
                      </c:pt>
                      <c:pt idx="11">
                        <c:v>34527.203699999998</c:v>
                      </c:pt>
                      <c:pt idx="12">
                        <c:v>40359.989000000001</c:v>
                      </c:pt>
                      <c:pt idx="13">
                        <c:v>40375.834000000003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1A26-4E6C-A5A6-9258C866E4D1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1'!$T$20</c15:sqref>
                        </c15:formulaRef>
                      </c:ext>
                    </c:extLst>
                    <c:strCache>
                      <c:ptCount val="1"/>
                      <c:pt idx="0">
                        <c:v>Remove "0"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-2978.5</c:v>
                      </c:pt>
                      <c:pt idx="1">
                        <c:v>-1163</c:v>
                      </c:pt>
                      <c:pt idx="2">
                        <c:v>-935.5</c:v>
                      </c:pt>
                      <c:pt idx="3">
                        <c:v>-823.5</c:v>
                      </c:pt>
                      <c:pt idx="4">
                        <c:v>-474.5</c:v>
                      </c:pt>
                      <c:pt idx="5">
                        <c:v>-232.5</c:v>
                      </c:pt>
                      <c:pt idx="6">
                        <c:v>-122</c:v>
                      </c:pt>
                      <c:pt idx="7">
                        <c:v>-119.5</c:v>
                      </c:pt>
                      <c:pt idx="8">
                        <c:v>0</c:v>
                      </c:pt>
                      <c:pt idx="9">
                        <c:v>227</c:v>
                      </c:pt>
                      <c:pt idx="10">
                        <c:v>249</c:v>
                      </c:pt>
                      <c:pt idx="11">
                        <c:v>250</c:v>
                      </c:pt>
                      <c:pt idx="12">
                        <c:v>2090.5</c:v>
                      </c:pt>
                      <c:pt idx="13">
                        <c:v>2095.5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1'!$T$21:$T$993</c15:sqref>
                        </c15:formulaRef>
                      </c:ext>
                    </c:extLst>
                    <c:numCache>
                      <c:formatCode>General</c:formatCode>
                      <c:ptCount val="97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1A26-4E6C-A5A6-9258C866E4D1}"/>
                  </c:ext>
                </c:extLst>
              </c15:ser>
            </c15:filteredScatterSeries>
            <c15:filteredScatte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19050">
                    <a:noFill/>
                  </a:ln>
                </c:spP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1'!$F$21:$F$993</c15:sqref>
                        </c15:formulaRef>
                      </c:ext>
                    </c:extLst>
                    <c:numCache>
                      <c:formatCode>General</c:formatCode>
                      <c:ptCount val="973"/>
                      <c:pt idx="0">
                        <c:v>-2978.5</c:v>
                      </c:pt>
                      <c:pt idx="1">
                        <c:v>-1163</c:v>
                      </c:pt>
                      <c:pt idx="2">
                        <c:v>-935.5</c:v>
                      </c:pt>
                      <c:pt idx="3">
                        <c:v>-823.5</c:v>
                      </c:pt>
                      <c:pt idx="4">
                        <c:v>-474.5</c:v>
                      </c:pt>
                      <c:pt idx="5">
                        <c:v>-232.5</c:v>
                      </c:pt>
                      <c:pt idx="6">
                        <c:v>-122</c:v>
                      </c:pt>
                      <c:pt idx="7">
                        <c:v>-119.5</c:v>
                      </c:pt>
                      <c:pt idx="8">
                        <c:v>0</c:v>
                      </c:pt>
                      <c:pt idx="9">
                        <c:v>227</c:v>
                      </c:pt>
                      <c:pt idx="10">
                        <c:v>249</c:v>
                      </c:pt>
                      <c:pt idx="11">
                        <c:v>250</c:v>
                      </c:pt>
                      <c:pt idx="12">
                        <c:v>2090.5</c:v>
                      </c:pt>
                      <c:pt idx="13">
                        <c:v>2095.5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'Active 1'!$U$21:$U$993</c15:sqref>
                        </c15:formulaRef>
                      </c:ext>
                    </c:extLst>
                    <c:numCache>
                      <c:formatCode>General</c:formatCode>
                      <c:ptCount val="97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1A26-4E6C-A5A6-9258C866E4D1}"/>
                  </c:ext>
                </c:extLst>
              </c15:ser>
            </c15:filteredScatterSeries>
          </c:ext>
        </c:extLst>
      </c:scatterChart>
      <c:valAx>
        <c:axId val="428147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sz="1000" b="0"/>
                  <a:t>Cycle</a:t>
                </a:r>
              </a:p>
            </c:rich>
          </c:tx>
          <c:layout>
            <c:manualLayout>
              <c:xMode val="edge"/>
              <c:yMode val="edge"/>
              <c:x val="0.52275187823744251"/>
              <c:y val="0.886276156656888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 b="0"/>
                  <a:t>O-C  (days)</a:t>
                </a:r>
              </a:p>
            </c:rich>
          </c:tx>
          <c:layout>
            <c:manualLayout>
              <c:xMode val="edge"/>
              <c:yMode val="edge"/>
              <c:x val="3.0687830687830688E-2"/>
              <c:y val="0.36862806855025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147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936541265675124"/>
          <c:y val="0.94902146055272507"/>
          <c:w val="0.72063456856625319"/>
          <c:h val="5.097853565850281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V539 Ara - Primary O-C Diagr.</a:t>
            </a:r>
          </a:p>
        </c:rich>
      </c:tx>
      <c:layout>
        <c:manualLayout>
          <c:xMode val="edge"/>
          <c:yMode val="edge"/>
          <c:x val="0.2659793814432989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907216494845365"/>
          <c:h val="0.6288343558282208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1'!$R$21:$R$993</c:f>
              <c:numCache>
                <c:formatCode>General</c:formatCode>
                <c:ptCount val="973"/>
                <c:pt idx="2">
                  <c:v>0.10063699999591336</c:v>
                </c:pt>
                <c:pt idx="3">
                  <c:v>9.970900000189431E-2</c:v>
                </c:pt>
                <c:pt idx="4">
                  <c:v>9.6302999998442829E-2</c:v>
                </c:pt>
                <c:pt idx="5">
                  <c:v>9.135499999683816E-2</c:v>
                </c:pt>
                <c:pt idx="7">
                  <c:v>8.8632999999390449E-2</c:v>
                </c:pt>
                <c:pt idx="8">
                  <c:v>0</c:v>
                </c:pt>
                <c:pt idx="12">
                  <c:v>5.7993000002170447E-2</c:v>
                </c:pt>
                <c:pt idx="13">
                  <c:v>5.752300000312971E-2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07-4AB8-8D33-8C0B17068071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0.11433158717368434</c:v>
                </c:pt>
                <c:pt idx="1">
                  <c:v>9.130631235941597E-2</c:v>
                </c:pt>
                <c:pt idx="2">
                  <c:v>8.8421019040635443E-2</c:v>
                </c:pt>
                <c:pt idx="3">
                  <c:v>8.7000566945235794E-2</c:v>
                </c:pt>
                <c:pt idx="4">
                  <c:v>8.2574336755106545E-2</c:v>
                </c:pt>
                <c:pt idx="5">
                  <c:v>7.9505145620403742E-2</c:v>
                </c:pt>
                <c:pt idx="6">
                  <c:v>7.8103717436996054E-2</c:v>
                </c:pt>
                <c:pt idx="7">
                  <c:v>7.8072010917009452E-2</c:v>
                </c:pt>
                <c:pt idx="8">
                  <c:v>7.6556439261650011E-2</c:v>
                </c:pt>
                <c:pt idx="9">
                  <c:v>7.3677487246866805E-2</c:v>
                </c:pt>
                <c:pt idx="10">
                  <c:v>7.3398469870984723E-2</c:v>
                </c:pt>
                <c:pt idx="11">
                  <c:v>7.3385787262990082E-2</c:v>
                </c:pt>
                <c:pt idx="12">
                  <c:v>5.0043447248855732E-2</c:v>
                </c:pt>
                <c:pt idx="13">
                  <c:v>4.9980034208882529E-2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07-4AB8-8D33-8C0B17068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544960"/>
        <c:axId val="1"/>
      </c:scatterChart>
      <c:valAx>
        <c:axId val="675544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350515463917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5544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649484536082476"/>
          <c:y val="0.92024539877300615"/>
          <c:w val="0.294845360824742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V539 Ara - Secondary O-C Diagr.</a:t>
            </a:r>
          </a:p>
        </c:rich>
      </c:tx>
      <c:layout>
        <c:manualLayout>
          <c:xMode val="edge"/>
          <c:yMode val="edge"/>
          <c:x val="0.24074117278550056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83985347514283"/>
          <c:y val="0.14678942920199375"/>
          <c:w val="0.76954887142504069"/>
          <c:h val="0.62997130032522319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2">
                    <c:v>8.9999999999999993E-3</c:v>
                  </c:pt>
                  <c:pt idx="13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1'!$S$21:$S$993</c:f>
              <c:numCache>
                <c:formatCode>General</c:formatCode>
                <c:ptCount val="973"/>
                <c:pt idx="0">
                  <c:v>4.8478999997314531E-2</c:v>
                </c:pt>
                <c:pt idx="1">
                  <c:v>4.7021999998833053E-2</c:v>
                </c:pt>
                <c:pt idx="6">
                  <c:v>2.8679999959422275E-3</c:v>
                </c:pt>
                <c:pt idx="9">
                  <c:v>-1.063800000702031E-2</c:v>
                </c:pt>
                <c:pt idx="10">
                  <c:v>-1.1405999997805338E-2</c:v>
                </c:pt>
                <c:pt idx="11">
                  <c:v>-9.8000000070896931E-3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E1-4FDE-9EF4-510118485793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-2978.5</c:v>
                </c:pt>
                <c:pt idx="1">
                  <c:v>-1163</c:v>
                </c:pt>
                <c:pt idx="2">
                  <c:v>-935.5</c:v>
                </c:pt>
                <c:pt idx="3">
                  <c:v>-823.5</c:v>
                </c:pt>
                <c:pt idx="4">
                  <c:v>-474.5</c:v>
                </c:pt>
                <c:pt idx="5">
                  <c:v>-232.5</c:v>
                </c:pt>
                <c:pt idx="6">
                  <c:v>-122</c:v>
                </c:pt>
                <c:pt idx="7">
                  <c:v>-119.5</c:v>
                </c:pt>
                <c:pt idx="8">
                  <c:v>0</c:v>
                </c:pt>
                <c:pt idx="9">
                  <c:v>227</c:v>
                </c:pt>
                <c:pt idx="10">
                  <c:v>249</c:v>
                </c:pt>
                <c:pt idx="11">
                  <c:v>250</c:v>
                </c:pt>
                <c:pt idx="12">
                  <c:v>2090.5</c:v>
                </c:pt>
                <c:pt idx="13">
                  <c:v>2095.5</c:v>
                </c:pt>
              </c:numCache>
            </c:numRef>
          </c:xVal>
          <c:yVal>
            <c:numRef>
              <c:f>'Active 1'!$P$21:$P$993</c:f>
              <c:numCache>
                <c:formatCode>General</c:formatCode>
                <c:ptCount val="973"/>
                <c:pt idx="0">
                  <c:v>5.9246769647141637E-2</c:v>
                </c:pt>
                <c:pt idx="1">
                  <c:v>2.2647270271392024E-2</c:v>
                </c:pt>
                <c:pt idx="2">
                  <c:v>1.8060993153252096E-2</c:v>
                </c:pt>
                <c:pt idx="3">
                  <c:v>1.5803133648937054E-2</c:v>
                </c:pt>
                <c:pt idx="4">
                  <c:v>8.7674821578125062E-3</c:v>
                </c:pt>
                <c:pt idx="5">
                  <c:v>3.8888928717032215E-3</c:v>
                </c:pt>
                <c:pt idx="6">
                  <c:v>1.6612725571781141E-3</c:v>
                </c:pt>
                <c:pt idx="7">
                  <c:v>1.610873907528225E-3</c:v>
                </c:pt>
                <c:pt idx="8">
                  <c:v>-7.9818154573648402E-4</c:v>
                </c:pt>
                <c:pt idx="9">
                  <c:v>-5.3743789339464332E-3</c:v>
                </c:pt>
                <c:pt idx="10">
                  <c:v>-5.8178870508654593E-3</c:v>
                </c:pt>
                <c:pt idx="11">
                  <c:v>-5.8380465107254146E-3</c:v>
                </c:pt>
                <c:pt idx="12">
                  <c:v>-4.2941532382973921E-2</c:v>
                </c:pt>
                <c:pt idx="13">
                  <c:v>-4.30423296822737E-2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E1-4FDE-9EF4-510118485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142696"/>
        <c:axId val="1"/>
      </c:scatterChart>
      <c:valAx>
        <c:axId val="519142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0766447403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142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712020565330564"/>
          <c:y val="0.9204921861831491"/>
          <c:w val="0.333333981400473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28575</xdr:rowOff>
    </xdr:from>
    <xdr:to>
      <xdr:col>21</xdr:col>
      <xdr:colOff>114300</xdr:colOff>
      <xdr:row>18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83ACA4-49A3-C21D-1300-DDB2018585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114300</xdr:rowOff>
    </xdr:from>
    <xdr:to>
      <xdr:col>11</xdr:col>
      <xdr:colOff>200025</xdr:colOff>
      <xdr:row>19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4483BD-977C-734C-EB92-8D803524C6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295274</xdr:colOff>
      <xdr:row>20</xdr:row>
      <xdr:rowOff>9525</xdr:rowOff>
    </xdr:from>
    <xdr:to>
      <xdr:col>11</xdr:col>
      <xdr:colOff>161925</xdr:colOff>
      <xdr:row>39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6AB5D49-F024-DDA0-5471-3199B8D527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6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2.5703125" customWidth="1"/>
    <col min="4" max="4" width="10.42578125" customWidth="1"/>
    <col min="5" max="5" width="11.5703125" customWidth="1"/>
    <col min="6" max="6" width="15.7109375" customWidth="1"/>
    <col min="7" max="7" width="14.57031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ht="12.95" customHeight="1" x14ac:dyDescent="0.2">
      <c r="A2" t="s">
        <v>19</v>
      </c>
      <c r="B2" s="18" t="s">
        <v>35</v>
      </c>
    </row>
    <row r="3" spans="1:7" ht="12.95" customHeight="1" thickBot="1" x14ac:dyDescent="0.25">
      <c r="C3" s="10" t="s">
        <v>31</v>
      </c>
    </row>
    <row r="4" spans="1:7" ht="12.95" customHeight="1" thickTop="1" thickBot="1" x14ac:dyDescent="0.25">
      <c r="A4" s="7" t="s">
        <v>0</v>
      </c>
      <c r="C4" s="2">
        <v>39314.341999999997</v>
      </c>
      <c r="D4" s="3">
        <v>3.1691280000000002</v>
      </c>
    </row>
    <row r="5" spans="1:7" ht="12.95" customHeight="1" thickTop="1" x14ac:dyDescent="0.2">
      <c r="A5" t="s">
        <v>38</v>
      </c>
      <c r="C5" s="24">
        <v>-9.5</v>
      </c>
    </row>
    <row r="6" spans="1:7" ht="12.95" customHeight="1" x14ac:dyDescent="0.2">
      <c r="A6" s="7" t="s">
        <v>1</v>
      </c>
    </row>
    <row r="7" spans="1:7" ht="12.95" customHeight="1" x14ac:dyDescent="0.2">
      <c r="A7" t="s">
        <v>2</v>
      </c>
      <c r="C7">
        <v>48753.440000000002</v>
      </c>
      <c r="D7" s="39" t="s">
        <v>49</v>
      </c>
    </row>
    <row r="8" spans="1:7" ht="12.95" customHeight="1" x14ac:dyDescent="0.2">
      <c r="A8" t="s">
        <v>3</v>
      </c>
      <c r="C8">
        <v>3.1690939999999999</v>
      </c>
      <c r="D8" s="39" t="s">
        <v>49</v>
      </c>
    </row>
    <row r="9" spans="1:7" ht="12.95" customHeight="1" x14ac:dyDescent="0.2">
      <c r="A9" s="41" t="s">
        <v>51</v>
      </c>
      <c r="B9" s="41"/>
      <c r="C9" s="42">
        <v>21</v>
      </c>
      <c r="D9" s="42">
        <v>21</v>
      </c>
    </row>
    <row r="10" spans="1:7" ht="12.95" customHeight="1" thickBot="1" x14ac:dyDescent="0.25">
      <c r="C10" s="6" t="s">
        <v>27</v>
      </c>
      <c r="D10" s="6" t="s">
        <v>28</v>
      </c>
    </row>
    <row r="11" spans="1:7" ht="12.95" customHeight="1" x14ac:dyDescent="0.2">
      <c r="A11" t="s">
        <v>15</v>
      </c>
      <c r="C11">
        <f ca="1">INTERCEPT(INDIRECT($C$14):$R$1000,INDIRECT($C$13):$F$1000)</f>
        <v>7.6556439261650011E-2</v>
      </c>
      <c r="D11">
        <f ca="1">INTERCEPT(INDIRECT($D$14):$S$1000,INDIRECT($D$13):$F$1000)</f>
        <v>-7.9818154573648402E-4</v>
      </c>
      <c r="E11" s="32" t="s">
        <v>46</v>
      </c>
      <c r="F11" s="46" t="s">
        <v>54</v>
      </c>
    </row>
    <row r="12" spans="1:7" ht="12.95" customHeight="1" x14ac:dyDescent="0.2">
      <c r="A12" t="s">
        <v>16</v>
      </c>
      <c r="C12">
        <f ca="1">SLOPE(INDIRECT($C$14):$R$1000,INDIRECT($C$13):$F$1000)</f>
        <v>-1.2682607994639694E-5</v>
      </c>
      <c r="D12">
        <f ca="1">SLOPE(INDIRECT($D$14):$S$1000,INDIRECT($D$13):$F$1000)</f>
        <v>-2.0159459859955723E-5</v>
      </c>
      <c r="E12" s="33" t="s">
        <v>40</v>
      </c>
      <c r="F12" s="34">
        <v>1</v>
      </c>
    </row>
    <row r="13" spans="1:7" ht="12.95" customHeight="1" x14ac:dyDescent="0.2">
      <c r="A13" t="s">
        <v>52</v>
      </c>
      <c r="C13" s="31" t="str">
        <f>"F"&amp;$C$9</f>
        <v>F21</v>
      </c>
      <c r="D13" s="31" t="str">
        <f>"F"&amp;$D$9</f>
        <v>F21</v>
      </c>
      <c r="E13" s="33" t="s">
        <v>41</v>
      </c>
      <c r="F13" s="35">
        <f ca="1">NOW()+15018.5+$C$5/24</f>
        <v>60514.812363310186</v>
      </c>
    </row>
    <row r="14" spans="1:7" ht="12.95" customHeight="1" x14ac:dyDescent="0.2">
      <c r="A14" t="s">
        <v>53</v>
      </c>
      <c r="C14" s="31" t="str">
        <f>"R"&amp;$C$9</f>
        <v>R21</v>
      </c>
      <c r="D14" s="31" t="str">
        <f>"S"&amp;$D$9</f>
        <v>S21</v>
      </c>
      <c r="E14" s="33" t="s">
        <v>42</v>
      </c>
      <c r="F14" s="35">
        <f ca="1">ROUND(2*($F$13-$C$7)/$C$8,0)/2+$F$12</f>
        <v>3712.5</v>
      </c>
      <c r="G14" s="26"/>
    </row>
    <row r="15" spans="1:7" ht="12.95" customHeight="1" x14ac:dyDescent="0.2">
      <c r="A15" s="4" t="s">
        <v>17</v>
      </c>
      <c r="C15" s="11">
        <f ca="1">($C7+C11)+($C8+C12)*INT(MAX($F21:$F3460))</f>
        <v>55392.741916375518</v>
      </c>
      <c r="D15" s="11">
        <f ca="1">($C7+D11)+($C8+D12)*(INT(MAX($F21:$F3460))+0.5)</f>
        <v>55394.233434670321</v>
      </c>
      <c r="E15" s="33" t="s">
        <v>43</v>
      </c>
      <c r="F15" s="35">
        <f ca="1">ROUND(2*($F$13-$C$15)/$C$16,0)/2+$F$12</f>
        <v>1617.5</v>
      </c>
      <c r="G15" s="27"/>
    </row>
    <row r="16" spans="1:7" ht="12.95" customHeight="1" x14ac:dyDescent="0.2">
      <c r="A16" s="7" t="s">
        <v>4</v>
      </c>
      <c r="C16" s="12">
        <f ca="1">+$C8+C12</f>
        <v>3.1690813173920054</v>
      </c>
      <c r="D16" s="12">
        <f ca="1">+$C8+D12</f>
        <v>3.1690738405401397</v>
      </c>
      <c r="E16" s="33" t="s">
        <v>47</v>
      </c>
      <c r="F16" s="36">
        <f ca="1">+$C$15+$C$16*$F$15-15018.5-$C$5/24</f>
        <v>45500.626780590421</v>
      </c>
      <c r="G16" s="28"/>
    </row>
    <row r="17" spans="1:29" ht="12.95" customHeight="1" thickBot="1" x14ac:dyDescent="0.25">
      <c r="A17" s="17" t="s">
        <v>34</v>
      </c>
      <c r="C17">
        <f>COUNT(C21:C2191)</f>
        <v>14</v>
      </c>
      <c r="E17" s="37" t="s">
        <v>48</v>
      </c>
      <c r="F17" s="38">
        <f ca="1">+($D$15+$D$16*$F$15)-($D$16/2)-15018.5-$C$5/24</f>
        <v>45500.52166815706</v>
      </c>
      <c r="G17" s="29"/>
    </row>
    <row r="18" spans="1:29" ht="12.95" customHeight="1" thickTop="1" thickBot="1" x14ac:dyDescent="0.25">
      <c r="A18" s="7" t="s">
        <v>32</v>
      </c>
      <c r="C18" s="13">
        <f ca="1">+C15</f>
        <v>55392.741916375518</v>
      </c>
      <c r="D18" s="14">
        <f ca="1">+C16</f>
        <v>3.1690813173920054</v>
      </c>
      <c r="E18" s="31">
        <f>COUNT(R21:R37)</f>
        <v>8</v>
      </c>
      <c r="F18" s="25"/>
      <c r="G18" s="30"/>
    </row>
    <row r="19" spans="1:29" ht="12.95" customHeight="1" thickBot="1" x14ac:dyDescent="0.25">
      <c r="A19" s="7" t="s">
        <v>33</v>
      </c>
      <c r="C19" s="15">
        <f ca="1">D15</f>
        <v>55394.233434670321</v>
      </c>
      <c r="D19" s="16">
        <f ca="1">D16</f>
        <v>3.1690738405401397</v>
      </c>
      <c r="E19" s="31">
        <f>COUNT(S21:S41)</f>
        <v>6</v>
      </c>
      <c r="G19" s="19"/>
      <c r="R19">
        <f>COUNT(R21:R31)</f>
        <v>6</v>
      </c>
      <c r="S19">
        <f>COUNT(S21:S31)</f>
        <v>5</v>
      </c>
    </row>
    <row r="20" spans="1:29" ht="12.95" customHeight="1" thickBot="1" x14ac:dyDescent="0.25">
      <c r="A20" s="6" t="s">
        <v>5</v>
      </c>
      <c r="B20" s="6" t="s">
        <v>6</v>
      </c>
      <c r="C20" s="6" t="s">
        <v>7</v>
      </c>
      <c r="D20" s="6" t="s">
        <v>12</v>
      </c>
      <c r="E20" s="6" t="s">
        <v>8</v>
      </c>
      <c r="F20" s="6" t="s">
        <v>9</v>
      </c>
      <c r="G20" s="6" t="s">
        <v>10</v>
      </c>
      <c r="H20" s="9" t="s">
        <v>11</v>
      </c>
      <c r="I20" s="9" t="s">
        <v>50</v>
      </c>
      <c r="J20" s="9" t="s">
        <v>44</v>
      </c>
      <c r="K20" s="9" t="s">
        <v>18</v>
      </c>
      <c r="L20" s="9" t="s">
        <v>20</v>
      </c>
      <c r="M20" s="9" t="s">
        <v>21</v>
      </c>
      <c r="N20" s="9" t="s">
        <v>22</v>
      </c>
      <c r="O20" s="9" t="s">
        <v>29</v>
      </c>
      <c r="P20" s="8" t="s">
        <v>30</v>
      </c>
      <c r="Q20" s="6" t="s">
        <v>14</v>
      </c>
      <c r="R20" s="6" t="s">
        <v>27</v>
      </c>
      <c r="S20" s="6" t="s">
        <v>28</v>
      </c>
      <c r="T20" s="6" t="s">
        <v>39</v>
      </c>
      <c r="U20" s="47"/>
      <c r="V20" s="48" t="s">
        <v>55</v>
      </c>
    </row>
    <row r="21" spans="1:29" ht="12.95" customHeight="1" x14ac:dyDescent="0.2">
      <c r="A21" s="19" t="s">
        <v>11</v>
      </c>
      <c r="B21" s="19"/>
      <c r="C21" s="43">
        <v>39314.341999999997</v>
      </c>
      <c r="D21" s="43" t="s">
        <v>13</v>
      </c>
      <c r="E21" s="19">
        <f>+(C21-C$7)/C$8</f>
        <v>-2978.4847025679915</v>
      </c>
      <c r="F21" s="19">
        <f>ROUND(2*E21,0)/2</f>
        <v>-2978.5</v>
      </c>
      <c r="G21" s="19">
        <f>+C21-(C$7+F21*C$8)</f>
        <v>4.8478999997314531E-2</v>
      </c>
      <c r="H21" s="19">
        <f>+G21</f>
        <v>4.8478999997314531E-2</v>
      </c>
      <c r="I21" s="19"/>
      <c r="J21" s="19"/>
      <c r="K21" s="19"/>
      <c r="L21" s="19"/>
      <c r="M21" s="19"/>
      <c r="N21" s="19"/>
      <c r="O21" s="19">
        <f ca="1">+C$11+C$12*$F21</f>
        <v>0.11433158717368434</v>
      </c>
      <c r="P21" s="19">
        <f ca="1">+D$11+D$12*$F21</f>
        <v>5.9246769647141637E-2</v>
      </c>
      <c r="Q21" s="21">
        <f>+C21-15018.5</f>
        <v>24295.841999999997</v>
      </c>
      <c r="R21" s="19"/>
      <c r="S21" s="19">
        <v>4.8478999997314531E-2</v>
      </c>
      <c r="T21" s="19"/>
      <c r="U21" s="19"/>
    </row>
    <row r="22" spans="1:29" ht="12.95" customHeight="1" x14ac:dyDescent="0.2">
      <c r="A22" s="19" t="s">
        <v>24</v>
      </c>
      <c r="B22" s="20" t="s">
        <v>26</v>
      </c>
      <c r="C22" s="43">
        <v>45067.830699999999</v>
      </c>
      <c r="D22" s="43"/>
      <c r="E22" s="19">
        <f>+(C22-C$7)/C$8</f>
        <v>-1162.9851623208413</v>
      </c>
      <c r="F22" s="19">
        <f>ROUND(2*E22,0)/2</f>
        <v>-1163</v>
      </c>
      <c r="G22" s="19">
        <f>+C22-(C$7+F22*C$8)</f>
        <v>4.7021999998833053E-2</v>
      </c>
      <c r="H22" s="19"/>
      <c r="I22" s="19">
        <f>+G22</f>
        <v>4.7021999998833053E-2</v>
      </c>
      <c r="J22" s="19"/>
      <c r="K22" s="19"/>
      <c r="L22" s="19"/>
      <c r="M22" s="19"/>
      <c r="O22" s="19">
        <f ca="1">+C$11+C$12*$F22</f>
        <v>9.130631235941597E-2</v>
      </c>
      <c r="P22" s="19">
        <f ca="1">+D$11+D$12*$F22</f>
        <v>2.2647270271392024E-2</v>
      </c>
      <c r="Q22" s="21">
        <f>+C22-15018.5</f>
        <v>30049.330699999999</v>
      </c>
      <c r="R22" s="19"/>
      <c r="S22" s="19">
        <f>IF(B22="II",G22,)</f>
        <v>4.7021999998833053E-2</v>
      </c>
      <c r="T22" s="19"/>
      <c r="U22" s="19"/>
      <c r="AA22" t="s">
        <v>23</v>
      </c>
      <c r="AC22" t="s">
        <v>25</v>
      </c>
    </row>
    <row r="23" spans="1:29" ht="12.95" customHeight="1" x14ac:dyDescent="0.2">
      <c r="A23" s="19" t="s">
        <v>24</v>
      </c>
      <c r="B23" s="20" t="s">
        <v>37</v>
      </c>
      <c r="C23" s="43">
        <v>45788.853199999998</v>
      </c>
      <c r="D23" s="43"/>
      <c r="E23" s="19">
        <f>+(C23-C$7)/C$8</f>
        <v>-935.46824423636679</v>
      </c>
      <c r="F23" s="19">
        <f>ROUND(2*E23,0)/2</f>
        <v>-935.5</v>
      </c>
      <c r="G23" s="19">
        <f>+C23-(C$7+F23*C$8)</f>
        <v>0.10063699999591336</v>
      </c>
      <c r="H23" s="19"/>
      <c r="I23" s="19">
        <f>+G23</f>
        <v>0.10063699999591336</v>
      </c>
      <c r="J23" s="19"/>
      <c r="K23" s="19"/>
      <c r="L23" s="19"/>
      <c r="M23" s="19"/>
      <c r="O23" s="19">
        <f ca="1">+C$11+C$12*$F23</f>
        <v>8.8421019040635443E-2</v>
      </c>
      <c r="P23" s="19">
        <f ca="1">+D$11+D$12*$F23</f>
        <v>1.8060993153252096E-2</v>
      </c>
      <c r="Q23" s="21">
        <f>+C23-15018.5</f>
        <v>30770.353199999998</v>
      </c>
      <c r="R23" s="19">
        <f>IF(B23="I",G23," ")</f>
        <v>0.10063699999591336</v>
      </c>
      <c r="S23" s="19"/>
      <c r="T23" s="19"/>
      <c r="U23" s="19"/>
      <c r="AA23" t="s">
        <v>23</v>
      </c>
      <c r="AC23" t="s">
        <v>25</v>
      </c>
    </row>
    <row r="24" spans="1:29" ht="12.95" customHeight="1" x14ac:dyDescent="0.2">
      <c r="A24" s="19" t="s">
        <v>24</v>
      </c>
      <c r="B24" s="20" t="s">
        <v>37</v>
      </c>
      <c r="C24" s="43">
        <v>46143.790800000002</v>
      </c>
      <c r="D24" s="43"/>
      <c r="E24" s="19">
        <f>+(C24-C$7)/C$8</f>
        <v>-823.46853706453646</v>
      </c>
      <c r="F24" s="19">
        <f>ROUND(2*E24,0)/2</f>
        <v>-823.5</v>
      </c>
      <c r="G24" s="19">
        <f>+C24-(C$7+F24*C$8)</f>
        <v>9.970900000189431E-2</v>
      </c>
      <c r="H24" s="19"/>
      <c r="I24" s="19">
        <f>+G24</f>
        <v>9.970900000189431E-2</v>
      </c>
      <c r="J24" s="19"/>
      <c r="K24" s="19"/>
      <c r="L24" s="19"/>
      <c r="M24" s="19"/>
      <c r="O24" s="19">
        <f ca="1">+C$11+C$12*$F24</f>
        <v>8.7000566945235794E-2</v>
      </c>
      <c r="P24" s="19">
        <f ca="1">+D$11+D$12*$F24</f>
        <v>1.5803133648937054E-2</v>
      </c>
      <c r="Q24" s="21">
        <f>+C24-15018.5</f>
        <v>31125.290800000002</v>
      </c>
      <c r="R24" s="19">
        <f>IF(B24="I",G24," ")</f>
        <v>9.970900000189431E-2</v>
      </c>
      <c r="S24" s="19"/>
      <c r="T24" s="19"/>
      <c r="U24" s="19"/>
      <c r="AA24" t="s">
        <v>23</v>
      </c>
      <c r="AC24" t="s">
        <v>25</v>
      </c>
    </row>
    <row r="25" spans="1:29" ht="12.95" customHeight="1" x14ac:dyDescent="0.2">
      <c r="A25" s="19" t="s">
        <v>24</v>
      </c>
      <c r="B25" s="20" t="s">
        <v>37</v>
      </c>
      <c r="C25" s="43">
        <v>47249.801200000002</v>
      </c>
      <c r="D25" s="43"/>
      <c r="E25" s="19">
        <f>+(C25-C$7)/C$8</f>
        <v>-474.46961181965594</v>
      </c>
      <c r="F25" s="19">
        <f>ROUND(2*E25,0)/2</f>
        <v>-474.5</v>
      </c>
      <c r="G25" s="19">
        <f>+C25-(C$7+F25*C$8)</f>
        <v>9.6302999998442829E-2</v>
      </c>
      <c r="H25" s="19"/>
      <c r="I25" s="19">
        <f>+G25</f>
        <v>9.6302999998442829E-2</v>
      </c>
      <c r="J25" s="19"/>
      <c r="K25" s="19"/>
      <c r="L25" s="19"/>
      <c r="M25" s="19"/>
      <c r="O25" s="19">
        <f ca="1">+C$11+C$12*$F25</f>
        <v>8.2574336755106545E-2</v>
      </c>
      <c r="P25" s="19">
        <f ca="1">+D$11+D$12*$F25</f>
        <v>8.7674821578125062E-3</v>
      </c>
      <c r="Q25" s="21">
        <f>+C25-15018.5</f>
        <v>32231.301200000002</v>
      </c>
      <c r="R25" s="19">
        <f>IF(B25="I",G25," ")</f>
        <v>9.6302999998442829E-2</v>
      </c>
      <c r="S25" s="19"/>
      <c r="T25" s="19"/>
      <c r="U25" s="19"/>
      <c r="AA25" t="s">
        <v>23</v>
      </c>
      <c r="AC25" t="s">
        <v>25</v>
      </c>
    </row>
    <row r="26" spans="1:29" ht="12.95" customHeight="1" x14ac:dyDescent="0.2">
      <c r="A26" s="19" t="s">
        <v>24</v>
      </c>
      <c r="B26" s="20" t="s">
        <v>37</v>
      </c>
      <c r="C26" s="43">
        <v>48016.716999999997</v>
      </c>
      <c r="D26" s="43"/>
      <c r="E26" s="19">
        <f>+(C26-C$7)/C$8</f>
        <v>-232.47117314917307</v>
      </c>
      <c r="F26" s="19">
        <f>ROUND(2*E26,0)/2</f>
        <v>-232.5</v>
      </c>
      <c r="G26" s="19">
        <f>+C26-(C$7+F26*C$8)</f>
        <v>9.135499999683816E-2</v>
      </c>
      <c r="H26" s="19"/>
      <c r="I26" s="19">
        <f>+G26</f>
        <v>9.135499999683816E-2</v>
      </c>
      <c r="J26" s="19"/>
      <c r="K26" s="19"/>
      <c r="L26" s="19"/>
      <c r="M26" s="19"/>
      <c r="O26" s="19">
        <f ca="1">+C$11+C$12*$F26</f>
        <v>7.9505145620403742E-2</v>
      </c>
      <c r="P26" s="19">
        <f ca="1">+D$11+D$12*$F26</f>
        <v>3.8888928717032215E-3</v>
      </c>
      <c r="Q26" s="21">
        <f>+C26-15018.5</f>
        <v>32998.216999999997</v>
      </c>
      <c r="R26" s="19">
        <f>IF(B26="I",G26," ")</f>
        <v>9.135499999683816E-2</v>
      </c>
      <c r="S26" s="19"/>
      <c r="T26" s="19"/>
      <c r="U26" s="19"/>
      <c r="AA26" t="s">
        <v>23</v>
      </c>
      <c r="AC26" t="s">
        <v>25</v>
      </c>
    </row>
    <row r="27" spans="1:29" ht="12.95" customHeight="1" x14ac:dyDescent="0.2">
      <c r="A27" s="19" t="s">
        <v>24</v>
      </c>
      <c r="B27" s="20" t="s">
        <v>26</v>
      </c>
      <c r="C27" s="43">
        <v>48366.813399999999</v>
      </c>
      <c r="D27" s="43"/>
      <c r="E27" s="19">
        <f>+(C27-C$7)/C$8</f>
        <v>-121.99909500948954</v>
      </c>
      <c r="F27" s="19">
        <f>ROUND(2*E27,0)/2</f>
        <v>-122</v>
      </c>
      <c r="G27" s="19">
        <f>+C27-(C$7+F27*C$8)</f>
        <v>2.8679999959422275E-3</v>
      </c>
      <c r="H27" s="19"/>
      <c r="I27" s="19">
        <f>+G27</f>
        <v>2.8679999959422275E-3</v>
      </c>
      <c r="J27" s="19"/>
      <c r="K27" s="19"/>
      <c r="L27" s="19"/>
      <c r="M27" s="19"/>
      <c r="O27" s="19">
        <f ca="1">+C$11+C$12*$F27</f>
        <v>7.8103717436996054E-2</v>
      </c>
      <c r="P27" s="19">
        <f ca="1">+D$11+D$12*$F27</f>
        <v>1.6612725571781141E-3</v>
      </c>
      <c r="Q27" s="21">
        <f>+C27-15018.5</f>
        <v>33348.313399999999</v>
      </c>
      <c r="R27" s="19"/>
      <c r="S27" s="19">
        <f>IF(B27="II",G27,)</f>
        <v>2.8679999959422275E-3</v>
      </c>
      <c r="T27" s="19"/>
      <c r="U27" s="19"/>
      <c r="AA27" t="s">
        <v>23</v>
      </c>
      <c r="AC27" t="s">
        <v>25</v>
      </c>
    </row>
    <row r="28" spans="1:29" ht="12.95" customHeight="1" x14ac:dyDescent="0.2">
      <c r="A28" s="19" t="s">
        <v>24</v>
      </c>
      <c r="B28" s="20" t="s">
        <v>37</v>
      </c>
      <c r="C28" s="43">
        <v>48374.821900000003</v>
      </c>
      <c r="D28" s="43"/>
      <c r="E28" s="19">
        <f>+(C28-C$7)/C$8</f>
        <v>-119.4720320697334</v>
      </c>
      <c r="F28" s="19">
        <f>ROUND(2*E28,0)/2</f>
        <v>-119.5</v>
      </c>
      <c r="G28" s="19">
        <f>+C28-(C$7+F28*C$8)</f>
        <v>8.8632999999390449E-2</v>
      </c>
      <c r="H28" s="19"/>
      <c r="I28" s="19">
        <f>+G28</f>
        <v>8.8632999999390449E-2</v>
      </c>
      <c r="J28" s="19"/>
      <c r="K28" s="19"/>
      <c r="L28" s="19"/>
      <c r="M28" s="19"/>
      <c r="O28" s="19">
        <f ca="1">+C$11+C$12*$F28</f>
        <v>7.8072010917009452E-2</v>
      </c>
      <c r="P28" s="19">
        <f ca="1">+D$11+D$12*$F28</f>
        <v>1.610873907528225E-3</v>
      </c>
      <c r="Q28" s="21">
        <f>+C28-15018.5</f>
        <v>33356.321900000003</v>
      </c>
      <c r="R28" s="19">
        <f>IF(B28="I",G28," ")</f>
        <v>8.8632999999390449E-2</v>
      </c>
      <c r="S28" s="19"/>
      <c r="T28" s="19"/>
      <c r="U28" s="19"/>
      <c r="AA28" t="s">
        <v>23</v>
      </c>
      <c r="AC28" t="s">
        <v>25</v>
      </c>
    </row>
    <row r="29" spans="1:29" ht="12.95" customHeight="1" x14ac:dyDescent="0.2">
      <c r="A29" s="39" t="s">
        <v>49</v>
      </c>
      <c r="B29" s="40" t="s">
        <v>37</v>
      </c>
      <c r="C29" s="44">
        <v>48753.440000000002</v>
      </c>
      <c r="D29" s="44"/>
      <c r="E29" s="19">
        <f>+(C29-C$7)/C$8</f>
        <v>0</v>
      </c>
      <c r="F29" s="19">
        <f>ROUND(2*E29,0)/2</f>
        <v>0</v>
      </c>
      <c r="G29" s="19">
        <f>+C29-(C$7+F29*C$8)</f>
        <v>0</v>
      </c>
      <c r="H29" s="19"/>
      <c r="I29" s="19"/>
      <c r="J29" s="19">
        <f>+G29</f>
        <v>0</v>
      </c>
      <c r="K29" s="19"/>
      <c r="L29" s="19"/>
      <c r="M29" s="19"/>
      <c r="O29" s="19">
        <f ca="1">+C$11+C$12*$F29</f>
        <v>7.6556439261650011E-2</v>
      </c>
      <c r="P29" s="19">
        <f ca="1">+D$11+D$12*$F29</f>
        <v>-7.9818154573648402E-4</v>
      </c>
      <c r="Q29" s="21">
        <f>+C29-15018.5</f>
        <v>33734.94</v>
      </c>
      <c r="R29" s="19">
        <f>IF(B29="I",G29," ")</f>
        <v>0</v>
      </c>
      <c r="S29" s="19"/>
    </row>
    <row r="30" spans="1:29" ht="12.95" customHeight="1" x14ac:dyDescent="0.2">
      <c r="A30" s="19" t="s">
        <v>24</v>
      </c>
      <c r="B30" s="20" t="s">
        <v>26</v>
      </c>
      <c r="C30" s="43">
        <v>49472.813699999999</v>
      </c>
      <c r="D30" s="43"/>
      <c r="E30" s="19">
        <f>+(C30-C$7)/C$8</f>
        <v>226.99664320464981</v>
      </c>
      <c r="F30" s="19">
        <f>ROUND(2*E30,0)/2</f>
        <v>227</v>
      </c>
      <c r="G30" s="19">
        <f>+C30-(C$7+F30*C$8)</f>
        <v>-1.063800000702031E-2</v>
      </c>
      <c r="H30" s="19"/>
      <c r="I30" s="19">
        <f>+G30</f>
        <v>-1.063800000702031E-2</v>
      </c>
      <c r="J30" s="19"/>
      <c r="K30" s="19"/>
      <c r="L30" s="19"/>
      <c r="M30" s="19"/>
      <c r="O30" s="19">
        <f ca="1">+C$11+C$12*$F30</f>
        <v>7.3677487246866805E-2</v>
      </c>
      <c r="P30" s="19">
        <f ca="1">+D$11+D$12*$F30</f>
        <v>-5.3743789339464332E-3</v>
      </c>
      <c r="Q30" s="21">
        <f>+C30-15018.5</f>
        <v>34454.313699999999</v>
      </c>
      <c r="R30" s="19"/>
      <c r="S30" s="19">
        <f>IF(B30="II",G30,)</f>
        <v>-1.063800000702031E-2</v>
      </c>
      <c r="T30" s="19"/>
      <c r="U30" s="19"/>
      <c r="AA30" t="s">
        <v>23</v>
      </c>
      <c r="AC30" t="s">
        <v>25</v>
      </c>
    </row>
    <row r="31" spans="1:29" ht="12.95" customHeight="1" x14ac:dyDescent="0.2">
      <c r="A31" s="19" t="s">
        <v>24</v>
      </c>
      <c r="B31" s="20" t="s">
        <v>26</v>
      </c>
      <c r="C31" s="43">
        <v>49542.533000000003</v>
      </c>
      <c r="D31" s="43"/>
      <c r="E31" s="19">
        <f>+(C31-C$7)/C$8</f>
        <v>248.99640086409579</v>
      </c>
      <c r="F31" s="19">
        <f>ROUND(2*E31,0)/2</f>
        <v>249</v>
      </c>
      <c r="G31" s="19">
        <f>+C31-(C$7+F31*C$8)</f>
        <v>-1.1405999997805338E-2</v>
      </c>
      <c r="H31" s="19"/>
      <c r="I31" s="19">
        <f>+G31</f>
        <v>-1.1405999997805338E-2</v>
      </c>
      <c r="J31" s="19"/>
      <c r="K31" s="19"/>
      <c r="L31" s="19"/>
      <c r="M31" s="19"/>
      <c r="O31" s="19">
        <f ca="1">+C$11+C$12*$F31</f>
        <v>7.3398469870984723E-2</v>
      </c>
      <c r="P31" s="19">
        <f ca="1">+D$11+D$12*$F31</f>
        <v>-5.8178870508654593E-3</v>
      </c>
      <c r="Q31" s="21">
        <f>+C31-15018.5</f>
        <v>34524.033000000003</v>
      </c>
      <c r="R31" s="19"/>
      <c r="S31" s="19">
        <f>IF(B31="II",G31,)</f>
        <v>-1.1405999997805338E-2</v>
      </c>
      <c r="T31" s="19"/>
      <c r="U31" s="19"/>
      <c r="AA31" t="s">
        <v>23</v>
      </c>
      <c r="AC31" t="s">
        <v>25</v>
      </c>
    </row>
    <row r="32" spans="1:29" x14ac:dyDescent="0.2">
      <c r="A32" s="19" t="s">
        <v>24</v>
      </c>
      <c r="B32" s="20" t="s">
        <v>26</v>
      </c>
      <c r="C32" s="43">
        <v>49545.703699999998</v>
      </c>
      <c r="D32" s="43"/>
      <c r="E32" s="19">
        <f>+(C32-C$7)/C$8</f>
        <v>249.99690763353686</v>
      </c>
      <c r="F32" s="19">
        <f>ROUND(2*E32,0)/2</f>
        <v>250</v>
      </c>
      <c r="G32" s="19">
        <f>+C32-(C$7+F32*C$8)</f>
        <v>-9.8000000070896931E-3</v>
      </c>
      <c r="H32" s="19"/>
      <c r="I32" s="19">
        <f>+G32</f>
        <v>-9.8000000070896931E-3</v>
      </c>
      <c r="J32" s="19"/>
      <c r="K32" s="19"/>
      <c r="L32" s="19"/>
      <c r="M32" s="19"/>
      <c r="O32" s="19">
        <f ca="1">+C$11+C$12*$F32</f>
        <v>7.3385787262990082E-2</v>
      </c>
      <c r="P32" s="19">
        <f ca="1">+D$11+D$12*$F32</f>
        <v>-5.8380465107254146E-3</v>
      </c>
      <c r="Q32" s="21">
        <f>+C32-15018.5</f>
        <v>34527.203699999998</v>
      </c>
      <c r="R32" s="19"/>
      <c r="S32" s="19">
        <f>IF(B32="II",G32,)</f>
        <v>-9.8000000070896931E-3</v>
      </c>
      <c r="T32" s="19"/>
      <c r="U32" s="19"/>
      <c r="AA32" t="s">
        <v>23</v>
      </c>
      <c r="AC32" t="s">
        <v>25</v>
      </c>
    </row>
    <row r="33" spans="1:21" x14ac:dyDescent="0.2">
      <c r="A33" s="22" t="s">
        <v>36</v>
      </c>
      <c r="B33" s="23" t="s">
        <v>37</v>
      </c>
      <c r="C33" s="45">
        <v>55378.489000000001</v>
      </c>
      <c r="D33" s="45">
        <v>8.9999999999999993E-3</v>
      </c>
      <c r="E33" s="19">
        <f>+(C33-C$7)/C$8</f>
        <v>2090.5182995518589</v>
      </c>
      <c r="F33" s="19">
        <f>ROUND(2*E33,0)/2</f>
        <v>2090.5</v>
      </c>
      <c r="G33" s="19">
        <f>+C33-(C$7+F33*C$8)</f>
        <v>5.7993000002170447E-2</v>
      </c>
      <c r="H33" s="19"/>
      <c r="I33" s="19"/>
      <c r="J33" s="19">
        <f>+G33</f>
        <v>5.7993000002170447E-2</v>
      </c>
      <c r="K33" s="19"/>
      <c r="L33" s="19"/>
      <c r="M33" s="19"/>
      <c r="O33" s="19">
        <f ca="1">+C$11+C$12*$F33</f>
        <v>5.0043447248855732E-2</v>
      </c>
      <c r="P33" s="19">
        <f ca="1">+D$11+D$12*$F33</f>
        <v>-4.2941532382973921E-2</v>
      </c>
      <c r="Q33" s="21">
        <f>+C33-15018.5</f>
        <v>40359.989000000001</v>
      </c>
      <c r="R33" s="19">
        <f>IF(B33="I",G33," ")</f>
        <v>5.7993000002170447E-2</v>
      </c>
      <c r="S33" s="19"/>
      <c r="T33" s="19"/>
      <c r="U33" s="19"/>
    </row>
    <row r="34" spans="1:21" x14ac:dyDescent="0.2">
      <c r="A34" s="22" t="s">
        <v>36</v>
      </c>
      <c r="B34" s="23" t="s">
        <v>37</v>
      </c>
      <c r="C34" s="45">
        <v>55394.334000000003</v>
      </c>
      <c r="D34" s="45">
        <v>8.0000000000000002E-3</v>
      </c>
      <c r="E34" s="19">
        <f>+(C34-C$7)/C$8</f>
        <v>2095.5181512444883</v>
      </c>
      <c r="F34" s="19">
        <f>ROUND(2*E34,0)/2</f>
        <v>2095.5</v>
      </c>
      <c r="G34" s="19">
        <f>+C34-(C$7+F34*C$8)</f>
        <v>5.752300000312971E-2</v>
      </c>
      <c r="H34" s="19"/>
      <c r="I34" s="19"/>
      <c r="J34" s="19">
        <f>+G34</f>
        <v>5.752300000312971E-2</v>
      </c>
      <c r="K34" s="19"/>
      <c r="L34" s="19"/>
      <c r="M34" s="19"/>
      <c r="O34" s="19">
        <f ca="1">+C$11+C$12*$F34</f>
        <v>4.9980034208882529E-2</v>
      </c>
      <c r="P34" s="19">
        <f ca="1">+D$11+D$12*$F34</f>
        <v>-4.30423296822737E-2</v>
      </c>
      <c r="Q34" s="21">
        <f>+C34-15018.5</f>
        <v>40375.834000000003</v>
      </c>
      <c r="R34" s="19">
        <f>IF(B34="I",G34," ")</f>
        <v>5.752300000312971E-2</v>
      </c>
      <c r="S34" s="19"/>
    </row>
    <row r="35" spans="1:21" x14ac:dyDescent="0.2">
      <c r="C35" s="44"/>
      <c r="D35" s="44"/>
    </row>
    <row r="36" spans="1:21" x14ac:dyDescent="0.2">
      <c r="C36" s="44"/>
      <c r="D36" s="44"/>
    </row>
    <row r="37" spans="1:21" x14ac:dyDescent="0.2">
      <c r="C37" s="44"/>
      <c r="D37" s="44"/>
    </row>
    <row r="38" spans="1:21" x14ac:dyDescent="0.2">
      <c r="D38" s="5"/>
    </row>
    <row r="39" spans="1:21" x14ac:dyDescent="0.2">
      <c r="D39" s="5"/>
    </row>
    <row r="40" spans="1:21" x14ac:dyDescent="0.2">
      <c r="D40" s="5"/>
    </row>
    <row r="41" spans="1:21" x14ac:dyDescent="0.2">
      <c r="D41" s="5"/>
    </row>
    <row r="42" spans="1:21" x14ac:dyDescent="0.2">
      <c r="D42" s="5"/>
    </row>
    <row r="43" spans="1:21" x14ac:dyDescent="0.2">
      <c r="D43" s="5"/>
    </row>
    <row r="44" spans="1:21" x14ac:dyDescent="0.2">
      <c r="D44" s="5"/>
    </row>
    <row r="45" spans="1:21" x14ac:dyDescent="0.2">
      <c r="D45" s="5"/>
    </row>
    <row r="46" spans="1:21" x14ac:dyDescent="0.2">
      <c r="D46" s="5"/>
    </row>
  </sheetData>
  <sortState xmlns:xlrd2="http://schemas.microsoft.com/office/spreadsheetml/2017/richdata2" ref="A21:AC43">
    <sortCondition ref="C21:C43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2024-07-23T07:29:48Z</dcterms:modified>
</cp:coreProperties>
</file>