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99F9425-8B4B-4CE1-9ED0-892B5CB85C8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27" i="3" l="1"/>
  <c r="D9" i="3"/>
  <c r="E9" i="3"/>
  <c r="F16" i="3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H25" i="3"/>
  <c r="Q25" i="3"/>
  <c r="E26" i="3"/>
  <c r="F26" i="3"/>
  <c r="G26" i="3"/>
  <c r="H26" i="3"/>
  <c r="Q26" i="3"/>
  <c r="E27" i="3"/>
  <c r="F27" i="3"/>
  <c r="G27" i="3"/>
  <c r="I27" i="3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E25" i="1"/>
  <c r="F25" i="1"/>
  <c r="G25" i="1"/>
  <c r="I25" i="1"/>
  <c r="E26" i="1"/>
  <c r="F26" i="1"/>
  <c r="G26" i="1"/>
  <c r="I26" i="1"/>
  <c r="E27" i="1"/>
  <c r="F27" i="1"/>
  <c r="G27" i="1"/>
  <c r="H27" i="1"/>
  <c r="Q21" i="1"/>
  <c r="Q22" i="1"/>
  <c r="Q23" i="1"/>
  <c r="I24" i="1"/>
  <c r="Q24" i="1"/>
  <c r="Q25" i="1"/>
  <c r="Q26" i="1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27" i="1"/>
  <c r="C12" i="3"/>
  <c r="C11" i="1"/>
  <c r="C11" i="3"/>
  <c r="C12" i="1"/>
  <c r="C16" i="1" l="1"/>
  <c r="D18" i="1" s="1"/>
  <c r="O22" i="3"/>
  <c r="O26" i="3"/>
  <c r="C15" i="3"/>
  <c r="O23" i="3"/>
  <c r="O21" i="3"/>
  <c r="O27" i="3"/>
  <c r="O25" i="3"/>
  <c r="O24" i="3"/>
  <c r="C15" i="1"/>
  <c r="O25" i="1"/>
  <c r="O23" i="1"/>
  <c r="O22" i="1"/>
  <c r="O21" i="1"/>
  <c r="O24" i="1"/>
  <c r="O26" i="1"/>
  <c r="O27" i="1"/>
  <c r="C16" i="3"/>
  <c r="D18" i="3" s="1"/>
  <c r="F17" i="1"/>
  <c r="F17" i="3"/>
  <c r="F18" i="1" l="1"/>
  <c r="F19" i="1" s="1"/>
  <c r="C18" i="3"/>
  <c r="C18" i="1"/>
  <c r="F18" i="3"/>
  <c r="F19" i="3" s="1"/>
</calcChain>
</file>

<file path=xl/sharedStrings.xml><?xml version="1.0" encoding="utf-8"?>
<sst xmlns="http://schemas.openxmlformats.org/spreadsheetml/2006/main" count="192" uniqueCount="75">
  <si>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</si>
  <si>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</si>
  <si>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</si>
  <si>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</si>
  <si>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</si>
  <si>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</si>
  <si>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</si>
  <si>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</si>
  <si>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</si>
  <si>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</si>
  <si>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</si>
  <si>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</si>
  <si>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</si>
  <si>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</si>
  <si>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</si>
  <si>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</si>
  <si>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</si>
  <si>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</si>
  <si>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</si>
  <si>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</si>
  <si>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</si>
  <si>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</si>
  <si>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</si>
  <si>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</si>
  <si>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</si>
  <si>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</si>
  <si>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</si>
  <si>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</si>
  <si>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</si>
  <si>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</si>
  <si>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</si>
  <si>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</si>
  <si>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</si>
  <si>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</si>
  <si>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</si>
  <si>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</si>
  <si>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</si>
  <si>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</si>
  <si>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</si>
  <si>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</si>
  <si>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</si>
  <si>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</si>
  <si>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</si>
  <si>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</si>
  <si>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</si>
  <si>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</si>
  <si>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</si>
  <si>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</si>
  <si>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DD CMa</t>
  </si>
  <si>
    <t>EA</t>
  </si>
  <si>
    <t>DD CMa / GSC 28095.663</t>
  </si>
  <si>
    <t>GCVS 4</t>
  </si>
  <si>
    <t>2427537.336 </t>
  </si>
  <si>
    <t> 09.04.1934 20:03 </t>
  </si>
  <si>
    <t> -0.017 </t>
  </si>
  <si>
    <t>P </t>
  </si>
  <si>
    <t> R.Deurinck </t>
  </si>
  <si>
    <t> PLOU 111.27 </t>
  </si>
  <si>
    <t>2427539.334 </t>
  </si>
  <si>
    <t> 11.04.1934 20:00 </t>
  </si>
  <si>
    <t> -0.027 </t>
  </si>
  <si>
    <t>2427810.453 </t>
  </si>
  <si>
    <t> 07.01.1935 22:52 </t>
  </si>
  <si>
    <t> -0.049 </t>
  </si>
  <si>
    <t>2428240.276 </t>
  </si>
  <si>
    <t> 12.03.1936 18:37 </t>
  </si>
  <si>
    <t> -0.035 </t>
  </si>
  <si>
    <t>2428246.290 </t>
  </si>
  <si>
    <t> 18.03.1936 18:57 </t>
  </si>
  <si>
    <t> -0.046 </t>
  </si>
  <si>
    <t>2428507.367 </t>
  </si>
  <si>
    <t> 04.12.1936 20:48 </t>
  </si>
  <si>
    <t> -0.068 </t>
  </si>
  <si>
    <t>I</t>
  </si>
  <si>
    <t>Both files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</si>
</sst>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5" borderId="0" xfId="0" applyFont="1" applyFill="1" applyAlignment="1"/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CMa - O-C Diagr.</a:t>
            </a:r>
          </a:p>
        </c:rich>
      </c:tx>
      <c:layout>
        <c:manualLayout>
          <c:xMode val="edge"/>
          <c:yMode val="edge"/>
          <c:x val="0.3843891163089149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4035127795846455"/>
          <c:w val="0.81885184069219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16-415F-B0E3-088AE607036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-1.6927200002101017E-2</c:v>
                </c:pt>
                <c:pt idx="1">
                  <c:v>-2.7378300004784251E-2</c:v>
                </c:pt>
                <c:pt idx="2">
                  <c:v>-4.9276800000370713E-2</c:v>
                </c:pt>
                <c:pt idx="3">
                  <c:v>-3.4812200003216276E-2</c:v>
                </c:pt>
                <c:pt idx="4">
                  <c:v>-4.6165500003553461E-2</c:v>
                </c:pt>
                <c:pt idx="5">
                  <c:v>-6.7808500003593508E-2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16-415F-B0E3-088AE607036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16-415F-B0E3-088AE607036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16-415F-B0E3-088AE607036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16-415F-B0E3-088AE607036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16-415F-B0E3-088AE607036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16-415F-B0E3-088AE607036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-4.0897813822291469E-2</c:v>
                </c:pt>
                <c:pt idx="1">
                  <c:v>-4.0894577789814979E-2</c:v>
                </c:pt>
                <c:pt idx="2">
                  <c:v>-4.0457713405489079E-2</c:v>
                </c:pt>
                <c:pt idx="3">
                  <c:v>-3.9765202455520607E-2</c:v>
                </c:pt>
                <c:pt idx="4">
                  <c:v>-3.9755494358091142E-2</c:v>
                </c:pt>
                <c:pt idx="5">
                  <c:v>-3.9334810136147681E-2</c:v>
                </c:pt>
                <c:pt idx="6">
                  <c:v>-1.2628880502642825E-3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16-415F-B0E3-088AE607036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16-415F-B0E3-088AE607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01016"/>
        <c:axId val="1"/>
      </c:scatterChart>
      <c:valAx>
        <c:axId val="52600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00751065910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001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96775403074614"/>
          <c:y val="0.92397937099967764"/>
          <c:w val="0.699558637644521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CMa - O-C Diagr.</a:t>
            </a:r>
          </a:p>
        </c:rich>
      </c:tx>
      <c:layout>
        <c:manualLayout>
          <c:xMode val="edge"/>
          <c:yMode val="edge"/>
          <c:x val="0.3843891163089149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1142916932441"/>
          <c:y val="0.14035127795846455"/>
          <c:w val="0.827688371347146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-1.6927200002101017E-2</c:v>
                </c:pt>
                <c:pt idx="1">
                  <c:v>-2.7378300004784251E-2</c:v>
                </c:pt>
                <c:pt idx="2">
                  <c:v>-4.9276800000370713E-2</c:v>
                </c:pt>
                <c:pt idx="3">
                  <c:v>-3.4812200003216276E-2</c:v>
                </c:pt>
                <c:pt idx="4">
                  <c:v>-4.6165500003553461E-2</c:v>
                </c:pt>
                <c:pt idx="5">
                  <c:v>-6.7808500003593508E-2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21-4E9F-AFA9-F85E3433BD0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6">
                  <c:v>-1.0042255500011379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21-4E9F-AFA9-F85E3433BD0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21-4E9F-AFA9-F85E3433BD0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21-4E9F-AFA9-F85E3433BD0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21-4E9F-AFA9-F85E3433BD0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21-4E9F-AFA9-F85E3433BD0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21-4E9F-AFA9-F85E3433BD0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-2.2758089177520868E-2</c:v>
                </c:pt>
                <c:pt idx="1">
                  <c:v>-2.2838204671443818E-2</c:v>
                </c:pt>
                <c:pt idx="2">
                  <c:v>-3.3653796351050036E-2</c:v>
                </c:pt>
                <c:pt idx="3">
                  <c:v>-5.0798512050573841E-2</c:v>
                </c:pt>
                <c:pt idx="4">
                  <c:v>-5.1038858532342801E-2</c:v>
                </c:pt>
                <c:pt idx="5">
                  <c:v>-6.1453872742333937E-2</c:v>
                </c:pt>
                <c:pt idx="6">
                  <c:v>-1.0040527164934911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21-4E9F-AFA9-F85E3433BD0F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-12248</c:v>
                </c:pt>
                <c:pt idx="1">
                  <c:v>-12247</c:v>
                </c:pt>
                <c:pt idx="2">
                  <c:v>-12112</c:v>
                </c:pt>
                <c:pt idx="3">
                  <c:v>-11898</c:v>
                </c:pt>
                <c:pt idx="4">
                  <c:v>-11895</c:v>
                </c:pt>
                <c:pt idx="5">
                  <c:v>-11765</c:v>
                </c:pt>
                <c:pt idx="6">
                  <c:v>0.5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21-4E9F-AFA9-F85E3433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625664"/>
        <c:axId val="1"/>
      </c:scatterChart>
      <c:valAx>
        <c:axId val="669625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625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2224593059888"/>
          <c:y val="0.92397937099967764"/>
          <c:w val="0.699558637644521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CC6BB4-363E-F711-5C68-CE0A6F4B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ED7D4D5-5160-47E3-F3C9-363C3EFA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51" t="s">
        <v>48</v>
      </c>
      <c r="G1" s="33">
        <v>7.2408700000000001</v>
      </c>
      <c r="H1" s="34">
        <v>-19.104700000000001</v>
      </c>
      <c r="I1" s="35">
        <v>28095.663</v>
      </c>
      <c r="J1" s="35">
        <v>2.0083807</v>
      </c>
      <c r="K1" s="32" t="s">
        <v>49</v>
      </c>
      <c r="L1" s="31">
        <v>11.6</v>
      </c>
      <c r="M1" s="31">
        <v>99</v>
      </c>
      <c r="N1" s="35">
        <v>2.0083807</v>
      </c>
      <c r="O1" s="38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>
      <c r="F3" s="56" t="s">
        <v>74</v>
      </c>
    </row>
    <row r="4" spans="1:15" ht="14.25" thickTop="1" thickBot="1" x14ac:dyDescent="0.25">
      <c r="A4" s="5" t="s">
        <v>0</v>
      </c>
      <c r="C4" s="27">
        <v>52136.862000000001</v>
      </c>
      <c r="D4" s="28">
        <v>2.0084510999999998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52136.862000000001</v>
      </c>
      <c r="D7" s="29" t="s">
        <v>51</v>
      </c>
    </row>
    <row r="8" spans="1:15" x14ac:dyDescent="0.2">
      <c r="A8" t="s">
        <v>3</v>
      </c>
      <c r="C8" s="57">
        <v>2.0084510999999998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-1.2628880502642825E-3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3.2360324764881765E-6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52136.860737111951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2.0084543360324765</v>
      </c>
      <c r="E16" s="14" t="s">
        <v>30</v>
      </c>
      <c r="F16" s="37">
        <f ca="1">NOW()+15018.5+$C$5/24</f>
        <v>60335.699774421293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4083</v>
      </c>
    </row>
    <row r="18" spans="1:21" ht="14.25" thickTop="1" thickBot="1" x14ac:dyDescent="0.25">
      <c r="A18" s="16" t="s">
        <v>5</v>
      </c>
      <c r="B18" s="10"/>
      <c r="C18" s="19">
        <f ca="1">+C15</f>
        <v>52136.860737111951</v>
      </c>
      <c r="D18" s="20">
        <f ca="1">+C16</f>
        <v>2.0084543360324765</v>
      </c>
      <c r="E18" s="14" t="s">
        <v>36</v>
      </c>
      <c r="F18" s="23">
        <f ca="1">ROUND(2*(F16-$C$15)/$C$16,0)/2+F15</f>
        <v>4083</v>
      </c>
    </row>
    <row r="19" spans="1:21" ht="13.5" thickTop="1" x14ac:dyDescent="0.2">
      <c r="E19" s="14" t="s">
        <v>31</v>
      </c>
      <c r="F19" s="18">
        <f ca="1">+$C$15+$C$16*F18-15018.5-$C$5/24</f>
        <v>45319.275624465889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2" t="s">
        <v>57</v>
      </c>
      <c r="B21" s="54" t="s">
        <v>73</v>
      </c>
      <c r="C21" s="53">
        <v>27537.335999999999</v>
      </c>
      <c r="D21" s="53" t="s">
        <v>38</v>
      </c>
      <c r="E21">
        <f t="shared" ref="E21:E27" si="0">+(C21-C$7)/C$8</f>
        <v>-12248.008427987121</v>
      </c>
      <c r="F21">
        <f t="shared" ref="F21:F27" si="1">ROUND(2*E21,0)/2</f>
        <v>-12248</v>
      </c>
      <c r="G21">
        <f t="shared" ref="G21:G27" si="2">+C21-(C$7+F21*C$8)</f>
        <v>-1.6927200002101017E-2</v>
      </c>
      <c r="I21">
        <f t="shared" ref="I21:I26" si="3">+G21</f>
        <v>-1.6927200002101017E-2</v>
      </c>
      <c r="O21">
        <f t="shared" ref="O21:O27" ca="1" si="4">+C$11+C$12*$F21</f>
        <v>-4.0897813822291469E-2</v>
      </c>
      <c r="Q21" s="2">
        <f t="shared" ref="Q21:Q27" si="5">+C21-15018.5</f>
        <v>12518.835999999999</v>
      </c>
      <c r="R21" s="2"/>
      <c r="S21" s="2"/>
      <c r="T21" s="2"/>
    </row>
    <row r="22" spans="1:21" x14ac:dyDescent="0.2">
      <c r="A22" s="52" t="s">
        <v>57</v>
      </c>
      <c r="B22" s="54" t="s">
        <v>73</v>
      </c>
      <c r="C22" s="53">
        <v>27539.333999999999</v>
      </c>
      <c r="D22" s="53" t="s">
        <v>38</v>
      </c>
      <c r="E22">
        <f t="shared" si="0"/>
        <v>-12247.013631549209</v>
      </c>
      <c r="F22">
        <f t="shared" si="1"/>
        <v>-12247</v>
      </c>
      <c r="G22">
        <f t="shared" si="2"/>
        <v>-2.7378300004784251E-2</v>
      </c>
      <c r="I22">
        <f t="shared" si="3"/>
        <v>-2.7378300004784251E-2</v>
      </c>
      <c r="O22">
        <f t="shared" ca="1" si="4"/>
        <v>-4.0894577789814979E-2</v>
      </c>
      <c r="Q22" s="2">
        <f t="shared" si="5"/>
        <v>12520.833999999999</v>
      </c>
      <c r="R22" s="2"/>
      <c r="S22" s="2"/>
      <c r="T22" s="2"/>
    </row>
    <row r="23" spans="1:21" x14ac:dyDescent="0.2">
      <c r="A23" s="52" t="s">
        <v>57</v>
      </c>
      <c r="B23" s="54" t="s">
        <v>73</v>
      </c>
      <c r="C23" s="53">
        <v>27810.453000000001</v>
      </c>
      <c r="D23" s="53" t="s">
        <v>38</v>
      </c>
      <c r="E23">
        <f t="shared" si="0"/>
        <v>-12112.024534727285</v>
      </c>
      <c r="F23">
        <f t="shared" si="1"/>
        <v>-12112</v>
      </c>
      <c r="G23">
        <f t="shared" si="2"/>
        <v>-4.9276800000370713E-2</v>
      </c>
      <c r="I23">
        <f t="shared" si="3"/>
        <v>-4.9276800000370713E-2</v>
      </c>
      <c r="O23">
        <f t="shared" ca="1" si="4"/>
        <v>-4.0457713405489079E-2</v>
      </c>
      <c r="Q23" s="2">
        <f t="shared" si="5"/>
        <v>12791.953000000001</v>
      </c>
      <c r="R23" s="2"/>
      <c r="S23" s="2"/>
      <c r="T23" s="2"/>
    </row>
    <row r="24" spans="1:21" x14ac:dyDescent="0.2">
      <c r="A24" s="52" t="s">
        <v>57</v>
      </c>
      <c r="B24" s="54" t="s">
        <v>73</v>
      </c>
      <c r="C24" s="53">
        <v>28240.276000000002</v>
      </c>
      <c r="D24" s="53" t="s">
        <v>38</v>
      </c>
      <c r="E24">
        <f t="shared" si="0"/>
        <v>-11898.017332859137</v>
      </c>
      <c r="F24">
        <f t="shared" si="1"/>
        <v>-11898</v>
      </c>
      <c r="G24">
        <f t="shared" si="2"/>
        <v>-3.4812200003216276E-2</v>
      </c>
      <c r="I24">
        <f t="shared" si="3"/>
        <v>-3.4812200003216276E-2</v>
      </c>
      <c r="O24">
        <f t="shared" ca="1" si="4"/>
        <v>-3.9765202455520607E-2</v>
      </c>
      <c r="Q24" s="2">
        <f t="shared" si="5"/>
        <v>13221.776000000002</v>
      </c>
      <c r="R24" s="2"/>
      <c r="S24" s="2"/>
      <c r="T24" s="2"/>
    </row>
    <row r="25" spans="1:21" x14ac:dyDescent="0.2">
      <c r="A25" s="52" t="s">
        <v>57</v>
      </c>
      <c r="B25" s="54" t="s">
        <v>73</v>
      </c>
      <c r="C25" s="53">
        <v>28246.29</v>
      </c>
      <c r="D25" s="53" t="s">
        <v>38</v>
      </c>
      <c r="E25">
        <f t="shared" si="0"/>
        <v>-11895.022985623102</v>
      </c>
      <c r="F25">
        <f t="shared" si="1"/>
        <v>-11895</v>
      </c>
      <c r="G25">
        <f t="shared" si="2"/>
        <v>-4.6165500003553461E-2</v>
      </c>
      <c r="I25">
        <f t="shared" si="3"/>
        <v>-4.6165500003553461E-2</v>
      </c>
      <c r="O25">
        <f t="shared" ca="1" si="4"/>
        <v>-3.9755494358091142E-2</v>
      </c>
      <c r="Q25" s="2">
        <f t="shared" si="5"/>
        <v>13227.79</v>
      </c>
      <c r="R25" s="2"/>
      <c r="S25" s="2"/>
      <c r="T25" s="2"/>
    </row>
    <row r="26" spans="1:21" x14ac:dyDescent="0.2">
      <c r="A26" s="52" t="s">
        <v>57</v>
      </c>
      <c r="B26" s="54" t="s">
        <v>73</v>
      </c>
      <c r="C26" s="53">
        <v>28507.366999999998</v>
      </c>
      <c r="D26" s="53" t="s">
        <v>38</v>
      </c>
      <c r="E26">
        <f t="shared" si="0"/>
        <v>-11765.033761588722</v>
      </c>
      <c r="F26">
        <f t="shared" si="1"/>
        <v>-11765</v>
      </c>
      <c r="G26">
        <f t="shared" si="2"/>
        <v>-6.7808500003593508E-2</v>
      </c>
      <c r="I26">
        <f t="shared" si="3"/>
        <v>-6.7808500003593508E-2</v>
      </c>
      <c r="O26">
        <f t="shared" ca="1" si="4"/>
        <v>-3.9334810136147681E-2</v>
      </c>
      <c r="Q26" s="2">
        <f t="shared" si="5"/>
        <v>13488.866999999998</v>
      </c>
      <c r="R26" s="2"/>
      <c r="S26" s="2"/>
      <c r="T26" s="2"/>
    </row>
    <row r="27" spans="1:21" x14ac:dyDescent="0.2">
      <c r="A27" s="29" t="s">
        <v>51</v>
      </c>
      <c r="C27" s="8">
        <v>52136.862000000001</v>
      </c>
      <c r="D27" s="8" t="s">
        <v>13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-1.2628880502642825E-3</v>
      </c>
      <c r="Q27" s="2">
        <f t="shared" si="5"/>
        <v>37118.362000000001</v>
      </c>
      <c r="R27" s="2"/>
      <c r="S27" s="2"/>
      <c r="T27" s="2"/>
    </row>
    <row r="28" spans="1:21" x14ac:dyDescent="0.2">
      <c r="B28" s="3"/>
      <c r="C28" s="8"/>
      <c r="D28" s="8"/>
      <c r="Q28" s="2"/>
      <c r="R28" s="2"/>
      <c r="S28" s="2"/>
      <c r="T28" s="2"/>
    </row>
    <row r="29" spans="1:21" x14ac:dyDescent="0.2">
      <c r="B29" s="3"/>
      <c r="C29" s="8"/>
      <c r="D29" s="8"/>
      <c r="Q29" s="2"/>
      <c r="R29" s="2"/>
      <c r="S29" s="2"/>
      <c r="T29" s="2"/>
    </row>
    <row r="30" spans="1:21" x14ac:dyDescent="0.2">
      <c r="B30" s="3"/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51" t="s">
        <v>48</v>
      </c>
      <c r="G1" s="33">
        <v>7.2408700000000001</v>
      </c>
      <c r="H1" s="34">
        <v>-19.104700000000001</v>
      </c>
      <c r="I1" s="35">
        <v>28095.663</v>
      </c>
      <c r="J1" s="35">
        <v>2.0083807</v>
      </c>
      <c r="K1" s="32" t="s">
        <v>49</v>
      </c>
      <c r="L1" s="31">
        <v>11.6</v>
      </c>
      <c r="M1" s="31">
        <v>99</v>
      </c>
      <c r="N1" s="35">
        <v>2.0083807</v>
      </c>
      <c r="O1" s="38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>
      <c r="F3" s="56" t="s">
        <v>74</v>
      </c>
    </row>
    <row r="4" spans="1:15" ht="14.25" thickTop="1" thickBot="1" x14ac:dyDescent="0.25">
      <c r="A4" s="5" t="s">
        <v>0</v>
      </c>
      <c r="C4" s="27">
        <v>52136.862000000001</v>
      </c>
      <c r="D4" s="28">
        <v>2.0084510999999998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52136.862000000001</v>
      </c>
      <c r="D7" s="29" t="s">
        <v>51</v>
      </c>
    </row>
    <row r="8" spans="1:15" x14ac:dyDescent="0.2">
      <c r="A8" t="s">
        <v>3</v>
      </c>
      <c r="C8" s="57">
        <v>2.0084510999999998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-1.0040126587465297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-8.011549392300856E-5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52135.857987341253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2.0083709845060769</v>
      </c>
      <c r="E16" s="14" t="s">
        <v>30</v>
      </c>
      <c r="F16" s="37">
        <f ca="1">NOW()+15018.5+$C$5/24</f>
        <v>60335.699774421293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4083</v>
      </c>
    </row>
    <row r="18" spans="1:21" ht="14.25" thickTop="1" thickBot="1" x14ac:dyDescent="0.25">
      <c r="A18" s="16" t="s">
        <v>5</v>
      </c>
      <c r="B18" s="10"/>
      <c r="C18" s="19">
        <f ca="1">+C15</f>
        <v>52135.857987341253</v>
      </c>
      <c r="D18" s="20">
        <f ca="1">+C16</f>
        <v>2.0083709845060769</v>
      </c>
      <c r="E18" s="14" t="s">
        <v>36</v>
      </c>
      <c r="F18" s="23">
        <f ca="1">ROUND(2*(F16-$C$15)/$C$16,0)/2+F15</f>
        <v>4084</v>
      </c>
    </row>
    <row r="19" spans="1:21" ht="13.5" thickTop="1" x14ac:dyDescent="0.2">
      <c r="E19" s="14" t="s">
        <v>31</v>
      </c>
      <c r="F19" s="18">
        <f ca="1">+$C$15+$C$16*F18-15018.5-$C$5/24</f>
        <v>45319.940921397407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2" t="s">
        <v>57</v>
      </c>
      <c r="B21" s="54" t="s">
        <v>73</v>
      </c>
      <c r="C21" s="53">
        <v>27537.335999999999</v>
      </c>
      <c r="D21" s="53" t="s">
        <v>38</v>
      </c>
      <c r="E21">
        <f t="shared" ref="E21:E27" si="0">+(C21-C$7)/C$8</f>
        <v>-12248.008427987121</v>
      </c>
      <c r="F21">
        <f t="shared" ref="F21:F26" si="1">ROUND(2*E21,0)/2</f>
        <v>-12248</v>
      </c>
      <c r="G21">
        <f t="shared" ref="G21:G27" si="2">+C21-(C$7+F21*C$8)</f>
        <v>-1.6927200002101017E-2</v>
      </c>
      <c r="H21">
        <f t="shared" ref="H21:H26" si="3">+G21</f>
        <v>-1.6927200002101017E-2</v>
      </c>
      <c r="O21">
        <f t="shared" ref="O21:O27" ca="1" si="4">+C$11+C$12*$F21</f>
        <v>-2.2758089177520868E-2</v>
      </c>
      <c r="Q21" s="2">
        <f t="shared" ref="Q21:Q27" si="5">+C21-15018.5</f>
        <v>12518.835999999999</v>
      </c>
      <c r="R21" s="2"/>
      <c r="S21" s="2"/>
      <c r="T21" s="2"/>
    </row>
    <row r="22" spans="1:21" x14ac:dyDescent="0.2">
      <c r="A22" s="52" t="s">
        <v>57</v>
      </c>
      <c r="B22" s="54" t="s">
        <v>73</v>
      </c>
      <c r="C22" s="53">
        <v>27539.333999999999</v>
      </c>
      <c r="D22" s="53" t="s">
        <v>38</v>
      </c>
      <c r="E22">
        <f t="shared" si="0"/>
        <v>-12247.013631549209</v>
      </c>
      <c r="F22">
        <f t="shared" si="1"/>
        <v>-12247</v>
      </c>
      <c r="G22">
        <f t="shared" si="2"/>
        <v>-2.7378300004784251E-2</v>
      </c>
      <c r="H22">
        <f t="shared" si="3"/>
        <v>-2.7378300004784251E-2</v>
      </c>
      <c r="O22">
        <f t="shared" ca="1" si="4"/>
        <v>-2.2838204671443818E-2</v>
      </c>
      <c r="Q22" s="2">
        <f t="shared" si="5"/>
        <v>12520.833999999999</v>
      </c>
      <c r="R22" s="2"/>
      <c r="S22" s="2"/>
      <c r="T22" s="2"/>
    </row>
    <row r="23" spans="1:21" x14ac:dyDescent="0.2">
      <c r="A23" s="52" t="s">
        <v>57</v>
      </c>
      <c r="B23" s="54" t="s">
        <v>73</v>
      </c>
      <c r="C23" s="53">
        <v>27810.453000000001</v>
      </c>
      <c r="D23" s="53" t="s">
        <v>38</v>
      </c>
      <c r="E23">
        <f t="shared" si="0"/>
        <v>-12112.024534727285</v>
      </c>
      <c r="F23">
        <f t="shared" si="1"/>
        <v>-12112</v>
      </c>
      <c r="G23">
        <f t="shared" si="2"/>
        <v>-4.9276800000370713E-2</v>
      </c>
      <c r="H23">
        <f t="shared" si="3"/>
        <v>-4.9276800000370713E-2</v>
      </c>
      <c r="O23">
        <f t="shared" ca="1" si="4"/>
        <v>-3.3653796351050036E-2</v>
      </c>
      <c r="Q23" s="2">
        <f t="shared" si="5"/>
        <v>12791.953000000001</v>
      </c>
      <c r="R23" s="2"/>
      <c r="S23" s="2"/>
      <c r="T23" s="2"/>
    </row>
    <row r="24" spans="1:21" x14ac:dyDescent="0.2">
      <c r="A24" s="52" t="s">
        <v>57</v>
      </c>
      <c r="B24" s="54" t="s">
        <v>73</v>
      </c>
      <c r="C24" s="53">
        <v>28240.276000000002</v>
      </c>
      <c r="D24" s="53" t="s">
        <v>38</v>
      </c>
      <c r="E24">
        <f t="shared" si="0"/>
        <v>-11898.017332859137</v>
      </c>
      <c r="F24">
        <f t="shared" si="1"/>
        <v>-11898</v>
      </c>
      <c r="G24">
        <f t="shared" si="2"/>
        <v>-3.4812200003216276E-2</v>
      </c>
      <c r="H24">
        <f t="shared" si="3"/>
        <v>-3.4812200003216276E-2</v>
      </c>
      <c r="O24">
        <f t="shared" ca="1" si="4"/>
        <v>-5.0798512050573841E-2</v>
      </c>
      <c r="Q24" s="2">
        <f t="shared" si="5"/>
        <v>13221.776000000002</v>
      </c>
      <c r="R24" s="2"/>
      <c r="S24" s="2"/>
      <c r="T24" s="2"/>
    </row>
    <row r="25" spans="1:21" x14ac:dyDescent="0.2">
      <c r="A25" s="52" t="s">
        <v>57</v>
      </c>
      <c r="B25" s="54" t="s">
        <v>73</v>
      </c>
      <c r="C25" s="53">
        <v>28246.29</v>
      </c>
      <c r="D25" s="53" t="s">
        <v>38</v>
      </c>
      <c r="E25">
        <f t="shared" si="0"/>
        <v>-11895.022985623102</v>
      </c>
      <c r="F25">
        <f t="shared" si="1"/>
        <v>-11895</v>
      </c>
      <c r="G25">
        <f t="shared" si="2"/>
        <v>-4.6165500003553461E-2</v>
      </c>
      <c r="H25">
        <f t="shared" si="3"/>
        <v>-4.6165500003553461E-2</v>
      </c>
      <c r="O25">
        <f t="shared" ca="1" si="4"/>
        <v>-5.1038858532342801E-2</v>
      </c>
      <c r="Q25" s="2">
        <f t="shared" si="5"/>
        <v>13227.79</v>
      </c>
      <c r="R25" s="2"/>
      <c r="S25" s="2"/>
      <c r="T25" s="2"/>
    </row>
    <row r="26" spans="1:21" x14ac:dyDescent="0.2">
      <c r="A26" s="52" t="s">
        <v>57</v>
      </c>
      <c r="B26" s="54" t="s">
        <v>73</v>
      </c>
      <c r="C26" s="53">
        <v>28507.366999999998</v>
      </c>
      <c r="D26" s="53" t="s">
        <v>38</v>
      </c>
      <c r="E26">
        <f t="shared" si="0"/>
        <v>-11765.033761588722</v>
      </c>
      <c r="F26">
        <f t="shared" si="1"/>
        <v>-11765</v>
      </c>
      <c r="G26">
        <f t="shared" si="2"/>
        <v>-6.7808500003593508E-2</v>
      </c>
      <c r="H26">
        <f t="shared" si="3"/>
        <v>-6.7808500003593508E-2</v>
      </c>
      <c r="O26">
        <f t="shared" ca="1" si="4"/>
        <v>-6.1453872742333937E-2</v>
      </c>
      <c r="Q26" s="2">
        <f t="shared" si="5"/>
        <v>13488.866999999998</v>
      </c>
      <c r="R26" s="2"/>
      <c r="S26" s="2"/>
      <c r="T26" s="2"/>
    </row>
    <row r="27" spans="1:21" x14ac:dyDescent="0.2">
      <c r="A27" s="29" t="s">
        <v>51</v>
      </c>
      <c r="C27" s="8">
        <v>52136.862000000001</v>
      </c>
      <c r="D27" s="8" t="s">
        <v>13</v>
      </c>
      <c r="E27">
        <f t="shared" si="0"/>
        <v>0</v>
      </c>
      <c r="F27" s="55">
        <f>ROUND(2*E27,0)/2+0.5</f>
        <v>0.5</v>
      </c>
      <c r="G27">
        <f t="shared" si="2"/>
        <v>-1.0042255500011379</v>
      </c>
      <c r="I27">
        <f>+G27</f>
        <v>-1.0042255500011379</v>
      </c>
      <c r="O27">
        <f t="shared" ca="1" si="4"/>
        <v>-1.0040527164934911</v>
      </c>
      <c r="Q27" s="2">
        <f t="shared" si="5"/>
        <v>37118.362000000001</v>
      </c>
      <c r="R27" s="2"/>
      <c r="S27" s="2"/>
      <c r="T27" s="2"/>
    </row>
    <row r="28" spans="1:21" x14ac:dyDescent="0.2">
      <c r="B28" s="3"/>
      <c r="C28" s="8"/>
      <c r="D28" s="8"/>
      <c r="Q28" s="2"/>
      <c r="R28" s="2"/>
      <c r="S28" s="2"/>
      <c r="T28" s="2"/>
    </row>
    <row r="29" spans="1:21" x14ac:dyDescent="0.2">
      <c r="B29" s="3"/>
      <c r="C29" s="8"/>
      <c r="D29" s="8"/>
      <c r="Q29" s="2"/>
      <c r="R29" s="2"/>
      <c r="S29" s="2"/>
      <c r="T29" s="2"/>
    </row>
    <row r="30" spans="1:21" x14ac:dyDescent="0.2">
      <c r="B30" s="3"/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7"/>
  <sheetViews>
    <sheetView workbookViewId="0">
      <selection activeCell="A11" sqref="A11:D1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41</v>
      </c>
      <c r="I1" s="40" t="s">
        <v>42</v>
      </c>
      <c r="J1" s="41" t="s">
        <v>40</v>
      </c>
    </row>
    <row r="2" spans="1:16" x14ac:dyDescent="0.2">
      <c r="I2" s="42" t="s">
        <v>43</v>
      </c>
      <c r="J2" s="43" t="s">
        <v>39</v>
      </c>
    </row>
    <row r="3" spans="1:16" x14ac:dyDescent="0.2">
      <c r="A3" s="44" t="s">
        <v>44</v>
      </c>
      <c r="I3" s="42" t="s">
        <v>45</v>
      </c>
      <c r="J3" s="43" t="s">
        <v>37</v>
      </c>
    </row>
    <row r="4" spans="1:16" x14ac:dyDescent="0.2">
      <c r="I4" s="42" t="s">
        <v>46</v>
      </c>
      <c r="J4" s="43" t="s">
        <v>37</v>
      </c>
    </row>
    <row r="5" spans="1:16" ht="13.5" thickBot="1" x14ac:dyDescent="0.25">
      <c r="I5" s="45" t="s">
        <v>47</v>
      </c>
      <c r="J5" s="46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6" si="0">P11</f>
        <v> PLOU 111.27 </v>
      </c>
      <c r="B11" s="3" t="str">
        <f t="shared" ref="B11:B16" si="1">IF(H11=INT(H11),"I","II")</f>
        <v>I</v>
      </c>
      <c r="C11" s="8">
        <f t="shared" ref="C11:C16" si="2">1*G11</f>
        <v>27537.335999999999</v>
      </c>
      <c r="D11" s="10" t="str">
        <f t="shared" ref="D11:D16" si="3">VLOOKUP(F11,I$1:J$5,2,FALSE)</f>
        <v>vis</v>
      </c>
      <c r="E11" s="47">
        <f>VLOOKUP(C11,'Active 1'!C$21:E$973,3,FALSE)</f>
        <v>-12248.008427987121</v>
      </c>
      <c r="F11" s="3" t="s">
        <v>47</v>
      </c>
      <c r="G11" s="10" t="str">
        <f t="shared" ref="G11:G16" si="4">MID(I11,3,LEN(I11)-3)</f>
        <v>27537.336</v>
      </c>
      <c r="H11" s="8">
        <f t="shared" ref="H11:H16" si="5">1*K11</f>
        <v>-12248</v>
      </c>
      <c r="I11" s="48" t="s">
        <v>52</v>
      </c>
      <c r="J11" s="49" t="s">
        <v>53</v>
      </c>
      <c r="K11" s="48">
        <v>-12248</v>
      </c>
      <c r="L11" s="48" t="s">
        <v>54</v>
      </c>
      <c r="M11" s="49" t="s">
        <v>55</v>
      </c>
      <c r="N11" s="49"/>
      <c r="O11" s="50" t="s">
        <v>56</v>
      </c>
      <c r="P11" s="50" t="s">
        <v>57</v>
      </c>
    </row>
    <row r="12" spans="1:16" ht="12.75" customHeight="1" thickBot="1" x14ac:dyDescent="0.25">
      <c r="A12" s="8" t="str">
        <f t="shared" si="0"/>
        <v> PLOU 111.27 </v>
      </c>
      <c r="B12" s="3" t="str">
        <f t="shared" si="1"/>
        <v>I</v>
      </c>
      <c r="C12" s="8">
        <f t="shared" si="2"/>
        <v>27539.333999999999</v>
      </c>
      <c r="D12" s="10" t="str">
        <f t="shared" si="3"/>
        <v>vis</v>
      </c>
      <c r="E12" s="47">
        <f>VLOOKUP(C12,'Active 1'!C$21:E$973,3,FALSE)</f>
        <v>-12247.013631549209</v>
      </c>
      <c r="F12" s="3" t="s">
        <v>47</v>
      </c>
      <c r="G12" s="10" t="str">
        <f t="shared" si="4"/>
        <v>27539.334</v>
      </c>
      <c r="H12" s="8">
        <f t="shared" si="5"/>
        <v>-12247</v>
      </c>
      <c r="I12" s="48" t="s">
        <v>58</v>
      </c>
      <c r="J12" s="49" t="s">
        <v>59</v>
      </c>
      <c r="K12" s="48">
        <v>-12247</v>
      </c>
      <c r="L12" s="48" t="s">
        <v>60</v>
      </c>
      <c r="M12" s="49" t="s">
        <v>55</v>
      </c>
      <c r="N12" s="49"/>
      <c r="O12" s="50" t="s">
        <v>56</v>
      </c>
      <c r="P12" s="50" t="s">
        <v>57</v>
      </c>
    </row>
    <row r="13" spans="1:16" ht="12.75" customHeight="1" thickBot="1" x14ac:dyDescent="0.25">
      <c r="A13" s="8" t="str">
        <f t="shared" si="0"/>
        <v> PLOU 111.27 </v>
      </c>
      <c r="B13" s="3" t="str">
        <f t="shared" si="1"/>
        <v>I</v>
      </c>
      <c r="C13" s="8">
        <f t="shared" si="2"/>
        <v>27810.453000000001</v>
      </c>
      <c r="D13" s="10" t="str">
        <f t="shared" si="3"/>
        <v>vis</v>
      </c>
      <c r="E13" s="47">
        <f>VLOOKUP(C13,'Active 1'!C$21:E$973,3,FALSE)</f>
        <v>-12112.024534727285</v>
      </c>
      <c r="F13" s="3" t="s">
        <v>47</v>
      </c>
      <c r="G13" s="10" t="str">
        <f t="shared" si="4"/>
        <v>27810.453</v>
      </c>
      <c r="H13" s="8">
        <f t="shared" si="5"/>
        <v>-12112</v>
      </c>
      <c r="I13" s="48" t="s">
        <v>61</v>
      </c>
      <c r="J13" s="49" t="s">
        <v>62</v>
      </c>
      <c r="K13" s="48">
        <v>-12112</v>
      </c>
      <c r="L13" s="48" t="s">
        <v>63</v>
      </c>
      <c r="M13" s="49" t="s">
        <v>55</v>
      </c>
      <c r="N13" s="49"/>
      <c r="O13" s="50" t="s">
        <v>56</v>
      </c>
      <c r="P13" s="50" t="s">
        <v>57</v>
      </c>
    </row>
    <row r="14" spans="1:16" ht="12.75" customHeight="1" thickBot="1" x14ac:dyDescent="0.25">
      <c r="A14" s="8" t="str">
        <f t="shared" si="0"/>
        <v> PLOU 111.27 </v>
      </c>
      <c r="B14" s="3" t="str">
        <f t="shared" si="1"/>
        <v>I</v>
      </c>
      <c r="C14" s="8">
        <f t="shared" si="2"/>
        <v>28240.276000000002</v>
      </c>
      <c r="D14" s="10" t="str">
        <f t="shared" si="3"/>
        <v>vis</v>
      </c>
      <c r="E14" s="47">
        <f>VLOOKUP(C14,'Active 1'!C$21:E$973,3,FALSE)</f>
        <v>-11898.017332859137</v>
      </c>
      <c r="F14" s="3" t="s">
        <v>47</v>
      </c>
      <c r="G14" s="10" t="str">
        <f t="shared" si="4"/>
        <v>28240.276</v>
      </c>
      <c r="H14" s="8">
        <f t="shared" si="5"/>
        <v>-11898</v>
      </c>
      <c r="I14" s="48" t="s">
        <v>64</v>
      </c>
      <c r="J14" s="49" t="s">
        <v>65</v>
      </c>
      <c r="K14" s="48">
        <v>-11898</v>
      </c>
      <c r="L14" s="48" t="s">
        <v>66</v>
      </c>
      <c r="M14" s="49" t="s">
        <v>55</v>
      </c>
      <c r="N14" s="49"/>
      <c r="O14" s="50" t="s">
        <v>56</v>
      </c>
      <c r="P14" s="50" t="s">
        <v>57</v>
      </c>
    </row>
    <row r="15" spans="1:16" ht="12.75" customHeight="1" thickBot="1" x14ac:dyDescent="0.25">
      <c r="A15" s="8" t="str">
        <f t="shared" si="0"/>
        <v> PLOU 111.27 </v>
      </c>
      <c r="B15" s="3" t="str">
        <f t="shared" si="1"/>
        <v>I</v>
      </c>
      <c r="C15" s="8">
        <f t="shared" si="2"/>
        <v>28246.29</v>
      </c>
      <c r="D15" s="10" t="str">
        <f t="shared" si="3"/>
        <v>vis</v>
      </c>
      <c r="E15" s="47">
        <f>VLOOKUP(C15,'Active 1'!C$21:E$973,3,FALSE)</f>
        <v>-11895.022985623102</v>
      </c>
      <c r="F15" s="3" t="s">
        <v>47</v>
      </c>
      <c r="G15" s="10" t="str">
        <f t="shared" si="4"/>
        <v>28246.290</v>
      </c>
      <c r="H15" s="8">
        <f t="shared" si="5"/>
        <v>-11895</v>
      </c>
      <c r="I15" s="48" t="s">
        <v>67</v>
      </c>
      <c r="J15" s="49" t="s">
        <v>68</v>
      </c>
      <c r="K15" s="48">
        <v>-11895</v>
      </c>
      <c r="L15" s="48" t="s">
        <v>69</v>
      </c>
      <c r="M15" s="49" t="s">
        <v>55</v>
      </c>
      <c r="N15" s="49"/>
      <c r="O15" s="50" t="s">
        <v>56</v>
      </c>
      <c r="P15" s="50" t="s">
        <v>57</v>
      </c>
    </row>
    <row r="16" spans="1:16" ht="12.75" customHeight="1" thickBot="1" x14ac:dyDescent="0.25">
      <c r="A16" s="8" t="str">
        <f t="shared" si="0"/>
        <v> PLOU 111.27 </v>
      </c>
      <c r="B16" s="3" t="str">
        <f t="shared" si="1"/>
        <v>I</v>
      </c>
      <c r="C16" s="8">
        <f t="shared" si="2"/>
        <v>28507.366999999998</v>
      </c>
      <c r="D16" s="10" t="str">
        <f t="shared" si="3"/>
        <v>vis</v>
      </c>
      <c r="E16" s="47">
        <f>VLOOKUP(C16,'Active 1'!C$21:E$973,3,FALSE)</f>
        <v>-11765.033761588722</v>
      </c>
      <c r="F16" s="3" t="s">
        <v>47</v>
      </c>
      <c r="G16" s="10" t="str">
        <f t="shared" si="4"/>
        <v>28507.367</v>
      </c>
      <c r="H16" s="8">
        <f t="shared" si="5"/>
        <v>-11765</v>
      </c>
      <c r="I16" s="48" t="s">
        <v>70</v>
      </c>
      <c r="J16" s="49" t="s">
        <v>71</v>
      </c>
      <c r="K16" s="48">
        <v>-11765</v>
      </c>
      <c r="L16" s="48" t="s">
        <v>72</v>
      </c>
      <c r="M16" s="49" t="s">
        <v>55</v>
      </c>
      <c r="N16" s="49"/>
      <c r="O16" s="50" t="s">
        <v>56</v>
      </c>
      <c r="P16" s="50" t="s">
        <v>57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2024-01-26T03:47:40Z</dcterms:modified>
</cp:coreProperties>
</file>