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55ED8A7-97DA-4A11-9264-CFD9FBC7A7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23" i="1"/>
  <c r="F23" i="1"/>
  <c r="E26" i="1"/>
  <c r="E15" i="2"/>
  <c r="E28" i="1"/>
  <c r="F28" i="1"/>
  <c r="G28" i="1"/>
  <c r="K28" i="1"/>
  <c r="E31" i="1"/>
  <c r="F31" i="1"/>
  <c r="E34" i="1"/>
  <c r="E20" i="2"/>
  <c r="E36" i="1"/>
  <c r="F36" i="1"/>
  <c r="G36" i="1"/>
  <c r="K36" i="1"/>
  <c r="F16" i="1"/>
  <c r="F17" i="1" s="1"/>
  <c r="D9" i="1"/>
  <c r="C9" i="1"/>
  <c r="Q21" i="1"/>
  <c r="Q22" i="1"/>
  <c r="Q23" i="1"/>
  <c r="Q24" i="1"/>
  <c r="Q26" i="1"/>
  <c r="Q27" i="1"/>
  <c r="Q28" i="1"/>
  <c r="Q29" i="1"/>
  <c r="Q33" i="1"/>
  <c r="Q34" i="1"/>
  <c r="Q35" i="1"/>
  <c r="Q36" i="1"/>
  <c r="G22" i="2"/>
  <c r="C22" i="2"/>
  <c r="E22" i="2"/>
  <c r="G21" i="2"/>
  <c r="C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G14" i="2"/>
  <c r="C14" i="2"/>
  <c r="G13" i="2"/>
  <c r="C13" i="2"/>
  <c r="E13" i="2"/>
  <c r="G12" i="2"/>
  <c r="C12" i="2"/>
  <c r="G11" i="2"/>
  <c r="C1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30" i="1"/>
  <c r="Q31" i="1"/>
  <c r="Q32" i="1"/>
  <c r="C7" i="1"/>
  <c r="E22" i="1"/>
  <c r="C8" i="1"/>
  <c r="Q25" i="1"/>
  <c r="C17" i="1"/>
  <c r="E11" i="2"/>
  <c r="F22" i="1"/>
  <c r="G22" i="1"/>
  <c r="K22" i="1"/>
  <c r="E12" i="2"/>
  <c r="E32" i="1"/>
  <c r="F32" i="1"/>
  <c r="G32" i="1"/>
  <c r="K32" i="1"/>
  <c r="E24" i="1"/>
  <c r="F24" i="1"/>
  <c r="E35" i="1"/>
  <c r="F35" i="1"/>
  <c r="G35" i="1"/>
  <c r="K35" i="1"/>
  <c r="E27" i="1"/>
  <c r="G21" i="1"/>
  <c r="F34" i="1"/>
  <c r="G34" i="1"/>
  <c r="K34" i="1"/>
  <c r="G31" i="1"/>
  <c r="K31" i="1"/>
  <c r="E29" i="1"/>
  <c r="F29" i="1"/>
  <c r="G29" i="1"/>
  <c r="K29" i="1"/>
  <c r="F26" i="1"/>
  <c r="G26" i="1"/>
  <c r="K26" i="1"/>
  <c r="G23" i="1"/>
  <c r="K23" i="1"/>
  <c r="E21" i="1"/>
  <c r="F21" i="1"/>
  <c r="E33" i="1"/>
  <c r="F33" i="1"/>
  <c r="G33" i="1"/>
  <c r="K33" i="1"/>
  <c r="E25" i="1"/>
  <c r="F25" i="1"/>
  <c r="G25" i="1"/>
  <c r="I25" i="1"/>
  <c r="E30" i="1"/>
  <c r="F30" i="1"/>
  <c r="G30" i="1"/>
  <c r="K30" i="1"/>
  <c r="G24" i="1"/>
  <c r="K24" i="1"/>
  <c r="K21" i="1"/>
  <c r="F27" i="1"/>
  <c r="G27" i="1"/>
  <c r="E16" i="2"/>
  <c r="E14" i="2"/>
  <c r="E21" i="2"/>
  <c r="E19" i="2"/>
  <c r="E18" i="2"/>
  <c r="K27" i="1"/>
  <c r="C11" i="1"/>
  <c r="C12" i="1"/>
  <c r="O37" i="1" l="1"/>
  <c r="C16" i="1"/>
  <c r="D18" i="1" s="1"/>
  <c r="O30" i="1"/>
  <c r="O27" i="1"/>
  <c r="O32" i="1"/>
  <c r="C15" i="1"/>
  <c r="O33" i="1"/>
  <c r="O24" i="1"/>
  <c r="O22" i="1"/>
  <c r="O36" i="1"/>
  <c r="O34" i="1"/>
  <c r="O28" i="1"/>
  <c r="O23" i="1"/>
  <c r="O26" i="1"/>
  <c r="O35" i="1"/>
  <c r="O31" i="1"/>
  <c r="O25" i="1"/>
  <c r="O21" i="1"/>
  <c r="O29" i="1"/>
  <c r="F18" i="1" l="1"/>
  <c r="F19" i="1" s="1"/>
  <c r="C18" i="1"/>
</calcChain>
</file>

<file path=xl/sharedStrings.xml><?xml version="1.0" encoding="utf-8"?>
<sst xmlns="http://schemas.openxmlformats.org/spreadsheetml/2006/main" count="206" uniqueCount="100">
  <si>
    <t>OEJV 0181</t>
  </si>
  <si>
    <t>Add cycle</t>
  </si>
  <si>
    <t>Old Cycle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</si>
  <si>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</si>
  <si>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</si>
  <si>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</si>
  <si>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</si>
  <si>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</si>
  <si>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</si>
  <si>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</si>
  <si>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</si>
  <si>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</si>
  <si>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</si>
  <si>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</si>
  <si>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</si>
  <si>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</si>
  <si>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</si>
  <si>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</si>
  <si>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</si>
  <si>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</si>
  <si>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</si>
  <si>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</si>
  <si>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</si>
  <si>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</si>
  <si>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</si>
  <si>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</si>
  <si>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</si>
  <si>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</si>
  <si>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</si>
  <si>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</si>
  <si>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</si>
  <si>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</si>
  <si>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</si>
  <si>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</si>
  <si>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</si>
  <si>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</si>
  <si>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</si>
  <si>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</si>
  <si>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</si>
  <si>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VW CMa / GSC 6528-0755               </t>
  </si>
  <si>
    <t xml:space="preserve">EB/KE     </t>
  </si>
  <si>
    <t>IBVS 5843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</si>
  <si>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</si>
  <si>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</si>
  <si>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</si>
  <si>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</si>
  <si>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</si>
  <si>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</si>
  <si>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</si>
  <si>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</si>
  <si>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</si>
  <si>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</si>
  <si>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</si>
  <si>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</si>
  <si>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2427470.0389 </t>
  </si>
  <si>
    <t> 01.02.1934 12:56 </t>
  </si>
  <si>
    <t> 0.5462 </t>
  </si>
  <si>
    <t>V </t>
  </si>
  <si>
    <t> N.Florja </t>
  </si>
  <si>
    <t> PSMO 8.2.106 </t>
  </si>
  <si>
    <t>2435200.1131 </t>
  </si>
  <si>
    <t> 02.04.1955 14:42 </t>
  </si>
  <si>
    <t> 0.3965 </t>
  </si>
  <si>
    <t>E </t>
  </si>
  <si>
    <t> J.B.Irwin </t>
  </si>
  <si>
    <t> APJS 6.253 </t>
  </si>
  <si>
    <t>2451925.8963 </t>
  </si>
  <si>
    <t> 16.01.2001 09:30 </t>
  </si>
  <si>
    <t> 0.0086 </t>
  </si>
  <si>
    <t>C </t>
  </si>
  <si>
    <t>ns</t>
  </si>
  <si>
    <t> L.Szabados (ASAS) </t>
  </si>
  <si>
    <t>IBVS 6038 </t>
  </si>
  <si>
    <t>2452205.2131 </t>
  </si>
  <si>
    <t> 22.10.2001 17:06 </t>
  </si>
  <si>
    <t> 0.0107 </t>
  </si>
  <si>
    <t>2452663.1671 </t>
  </si>
  <si>
    <t> 23.01.2003 16:00 </t>
  </si>
  <si>
    <t> -0.0108 </t>
  </si>
  <si>
    <t>2453020.4943 </t>
  </si>
  <si>
    <t> 15.01.2004 23:51 </t>
  </si>
  <si>
    <t> -0.0052 </t>
  </si>
  <si>
    <t>2453408.0095 </t>
  </si>
  <si>
    <t> 06.02.2005 12:13 </t>
  </si>
  <si>
    <t> -0.0077 </t>
  </si>
  <si>
    <t>2453755.2665 </t>
  </si>
  <si>
    <t> 19.01.2006 18:23 </t>
  </si>
  <si>
    <t> -0.0069 </t>
  </si>
  <si>
    <t>2454150.3382 </t>
  </si>
  <si>
    <t> 18.02.2007 20:07 </t>
  </si>
  <si>
    <t> -0.0019 </t>
  </si>
  <si>
    <t>2454474.9434 </t>
  </si>
  <si>
    <t> 09.01.2008 10:38 </t>
  </si>
  <si>
    <t> -0.0057 </t>
  </si>
  <si>
    <t>2454784.4785 </t>
  </si>
  <si>
    <t> 13.11.2008 23:29 </t>
  </si>
  <si>
    <t> 0.0184 </t>
  </si>
  <si>
    <t>2455083.9056 </t>
  </si>
  <si>
    <t> 09.09.2009 09:44 </t>
  </si>
  <si>
    <t> 0.0000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</si>
</sst>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>
      <alignment vertical="top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CMa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7352804821513"/>
          <c:y val="0.14035118417215389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9-4228-8FB5-364BF18E65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9-4228-8FB5-364BF18E65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69-4228-8FB5-364BF18E65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-7.1213999999599764E-2</c:v>
                </c:pt>
                <c:pt idx="1">
                  <c:v>-0.15648599999258295</c:v>
                </c:pt>
                <c:pt idx="2">
                  <c:v>-0.10578399999940302</c:v>
                </c:pt>
                <c:pt idx="3">
                  <c:v>-0.1098340000025928</c:v>
                </c:pt>
                <c:pt idx="5">
                  <c:v>0.11838600000191946</c:v>
                </c:pt>
                <c:pt idx="6">
                  <c:v>-8.5102000004553702E-2</c:v>
                </c:pt>
                <c:pt idx="7">
                  <c:v>-1.4951999997720122E-2</c:v>
                </c:pt>
                <c:pt idx="8">
                  <c:v>0.16336600000067847</c:v>
                </c:pt>
                <c:pt idx="9">
                  <c:v>3.4400000004097819E-3</c:v>
                </c:pt>
                <c:pt idx="10">
                  <c:v>6.4399999973829836E-4</c:v>
                </c:pt>
                <c:pt idx="11">
                  <c:v>1.7700000025797635E-3</c:v>
                </c:pt>
                <c:pt idx="12">
                  <c:v>-0.13909200000489363</c:v>
                </c:pt>
                <c:pt idx="13">
                  <c:v>9.3507999998109881E-2</c:v>
                </c:pt>
                <c:pt idx="14">
                  <c:v>3.2981999996991362E-2</c:v>
                </c:pt>
                <c:pt idx="15">
                  <c:v>-4.3951999999990221E-2</c:v>
                </c:pt>
                <c:pt idx="16">
                  <c:v>-6.1304000002564862E-2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69-4228-8FB5-364BF18E65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69-4228-8FB5-364BF18E65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69-4228-8FB5-364BF18E65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1.6000000000000001E-3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69-4228-8FB5-364BF18E65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-34724.5</c:v>
                </c:pt>
                <c:pt idx="1">
                  <c:v>-24000.5</c:v>
                </c:pt>
                <c:pt idx="2">
                  <c:v>-797</c:v>
                </c:pt>
                <c:pt idx="3">
                  <c:v>-409.5</c:v>
                </c:pt>
                <c:pt idx="4">
                  <c:v>0</c:v>
                </c:pt>
                <c:pt idx="5">
                  <c:v>225.5</c:v>
                </c:pt>
                <c:pt idx="6">
                  <c:v>721.5</c:v>
                </c:pt>
                <c:pt idx="7">
                  <c:v>1259</c:v>
                </c:pt>
                <c:pt idx="8">
                  <c:v>1740.5</c:v>
                </c:pt>
                <c:pt idx="9">
                  <c:v>2170</c:v>
                </c:pt>
                <c:pt idx="10">
                  <c:v>2177</c:v>
                </c:pt>
                <c:pt idx="11">
                  <c:v>2247.5</c:v>
                </c:pt>
                <c:pt idx="12">
                  <c:v>2289</c:v>
                </c:pt>
                <c:pt idx="13">
                  <c:v>2739</c:v>
                </c:pt>
                <c:pt idx="14">
                  <c:v>3168.5</c:v>
                </c:pt>
                <c:pt idx="15">
                  <c:v>3584</c:v>
                </c:pt>
                <c:pt idx="16">
                  <c:v>7318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-0.11828464940834804</c:v>
                </c:pt>
                <c:pt idx="1">
                  <c:v>-8.6933353012744172E-2</c:v>
                </c:pt>
                <c:pt idx="2">
                  <c:v>-1.9098607962819297E-2</c:v>
                </c:pt>
                <c:pt idx="3">
                  <c:v>-1.7965763189106455E-2</c:v>
                </c:pt>
                <c:pt idx="4">
                  <c:v>-1.6768602066950564E-2</c:v>
                </c:pt>
                <c:pt idx="5">
                  <c:v>-1.6109359495409287E-2</c:v>
                </c:pt>
                <c:pt idx="6">
                  <c:v>-1.4659318185056849E-2</c:v>
                </c:pt>
                <c:pt idx="7">
                  <c:v>-1.3087952853777748E-2</c:v>
                </c:pt>
                <c:pt idx="8">
                  <c:v>-1.168030186399005E-2</c:v>
                </c:pt>
                <c:pt idx="9">
                  <c:v>-1.0424671334158659E-2</c:v>
                </c:pt>
                <c:pt idx="10">
                  <c:v>-1.0404207041472232E-2</c:v>
                </c:pt>
                <c:pt idx="11">
                  <c:v>-1.0198102379416089E-2</c:v>
                </c:pt>
                <c:pt idx="12">
                  <c:v>-1.0076778358489424E-2</c:v>
                </c:pt>
                <c:pt idx="13">
                  <c:v>-8.7612166857906418E-3</c:v>
                </c:pt>
                <c:pt idx="14">
                  <c:v>-7.5055861559592488E-3</c:v>
                </c:pt>
                <c:pt idx="15">
                  <c:v>-6.2908842115007059E-3</c:v>
                </c:pt>
                <c:pt idx="16">
                  <c:v>4.6253542015154137E-3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69-4228-8FB5-364BF18E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34264"/>
        <c:axId val="1"/>
      </c:scatterChart>
      <c:valAx>
        <c:axId val="52313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485396383866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134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60083449235051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0</xdr:rowOff>
    </xdr:from>
    <xdr:to>
      <xdr:col>18</xdr:col>
      <xdr:colOff>266700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4D0ACB-9B00-90C2-B911-5395AF640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38" TargetMode="External"/><Relationship Id="rId3" Type="http://schemas.openxmlformats.org/officeDocument/2006/relationships/hyperlink" Target="http://www.konkoly.hu/cgi-bin/IBVS?6038" TargetMode="External"/><Relationship Id="rId7" Type="http://schemas.openxmlformats.org/officeDocument/2006/relationships/hyperlink" Target="http://www.konkoly.hu/cgi-bin/IBVS?6038" TargetMode="External"/><Relationship Id="rId2" Type="http://schemas.openxmlformats.org/officeDocument/2006/relationships/hyperlink" Target="http://www.konkoly.hu/cgi-bin/IBVS?6038" TargetMode="External"/><Relationship Id="rId1" Type="http://schemas.openxmlformats.org/officeDocument/2006/relationships/hyperlink" Target="http://www.konkoly.hu/cgi-bin/IBVS?6038" TargetMode="External"/><Relationship Id="rId6" Type="http://schemas.openxmlformats.org/officeDocument/2006/relationships/hyperlink" Target="http://www.konkoly.hu/cgi-bin/IBVS?6038" TargetMode="External"/><Relationship Id="rId5" Type="http://schemas.openxmlformats.org/officeDocument/2006/relationships/hyperlink" Target="http://www.konkoly.hu/cgi-bin/IBVS?6038" TargetMode="External"/><Relationship Id="rId10" Type="http://schemas.openxmlformats.org/officeDocument/2006/relationships/hyperlink" Target="http://www.konkoly.hu/cgi-bin/IBVS?6038" TargetMode="External"/><Relationship Id="rId4" Type="http://schemas.openxmlformats.org/officeDocument/2006/relationships/hyperlink" Target="http://www.konkoly.hu/cgi-bin/IBVS?6038" TargetMode="External"/><Relationship Id="rId9" Type="http://schemas.openxmlformats.org/officeDocument/2006/relationships/hyperlink" Target="http://www.konkoly.hu/cgi-bin/IBVS?6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W29" sqref="W2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25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38</v>
      </c>
      <c r="C4" s="8">
        <v>52500.502</v>
      </c>
      <c r="D4" s="9">
        <v>0.72082800000000002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C4</f>
        <v>52500.502</v>
      </c>
    </row>
    <row r="8" spans="1:6" x14ac:dyDescent="0.2">
      <c r="A8" t="s">
        <v>5</v>
      </c>
      <c r="C8">
        <f>D4</f>
        <v>0.72082800000000002</v>
      </c>
      <c r="D8" s="29"/>
    </row>
    <row r="9" spans="1:6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INTERCEPT(INDIRECT($D$9):G975,INDIRECT($C$9):F975)</f>
        <v>-1.6768602066950564E-2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SLOPE(INDIRECT($D$9):G975,INDIRECT($C$9):F975)</f>
        <v>2.9234703837750719E-6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(C7+C11)+(C8+C12)*INT(MAX(F21:F3516))</f>
        <v>57775.525929354204</v>
      </c>
      <c r="E15" s="16" t="s">
        <v>1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0.7208309234703838</v>
      </c>
      <c r="E16" s="16" t="s">
        <v>32</v>
      </c>
      <c r="F16" s="17">
        <f ca="1">NOW()+15018.5+$C$5/24</f>
        <v>60335.765218055552</v>
      </c>
    </row>
    <row r="17" spans="1:18" ht="13.5" thickBot="1" x14ac:dyDescent="0.25">
      <c r="A17" s="16" t="s">
        <v>29</v>
      </c>
      <c r="B17" s="12"/>
      <c r="C17" s="12">
        <f>COUNT(C21:C2174)</f>
        <v>17</v>
      </c>
      <c r="E17" s="16" t="s">
        <v>2</v>
      </c>
      <c r="F17" s="17">
        <f ca="1">ROUND(2*(F16-$C$7)/$C$8,0)/2+F15</f>
        <v>10871</v>
      </c>
    </row>
    <row r="18" spans="1:18" ht="14.25" thickTop="1" thickBot="1" x14ac:dyDescent="0.25">
      <c r="A18" s="18" t="s">
        <v>7</v>
      </c>
      <c r="B18" s="12"/>
      <c r="C18" s="21">
        <f ca="1">+C15</f>
        <v>57775.525929354204</v>
      </c>
      <c r="D18" s="22">
        <f ca="1">+C16</f>
        <v>0.7208309234703838</v>
      </c>
      <c r="E18" s="16" t="s">
        <v>33</v>
      </c>
      <c r="F18" s="25">
        <f ca="1">ROUND(2*(F16-$C$15)/$C$16,0)/2+F15</f>
        <v>3553</v>
      </c>
    </row>
    <row r="19" spans="1:18" ht="13.5" thickTop="1" x14ac:dyDescent="0.2">
      <c r="E19" s="16" t="s">
        <v>34</v>
      </c>
      <c r="F19" s="20">
        <f ca="1">+$C$15+$C$16*F18-15018.5-$C$5/24</f>
        <v>45318.534033777811</v>
      </c>
    </row>
    <row r="20" spans="1:18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8" x14ac:dyDescent="0.2">
      <c r="A21" s="45" t="s">
        <v>59</v>
      </c>
      <c r="B21" s="47" t="s">
        <v>36</v>
      </c>
      <c r="C21" s="46">
        <v>27470.0389</v>
      </c>
      <c r="D21" s="46" t="s">
        <v>53</v>
      </c>
      <c r="E21">
        <f t="shared" ref="E21:E36" si="0">+(C21-C$7)/C$8</f>
        <v>-34724.598794719408</v>
      </c>
      <c r="F21">
        <f t="shared" ref="F21:F36" si="1">ROUND(2*E21,0)/2</f>
        <v>-34724.5</v>
      </c>
      <c r="G21">
        <f t="shared" ref="G21:G36" si="2">+C21-(C$7+F21*C$8)</f>
        <v>-7.1213999999599764E-2</v>
      </c>
      <c r="K21">
        <f>+G21</f>
        <v>-7.1213999999599764E-2</v>
      </c>
      <c r="O21">
        <f t="shared" ref="O21:O36" ca="1" si="3">+C$11+C$12*$F21</f>
        <v>-0.11828464940834804</v>
      </c>
      <c r="Q21" s="2">
        <f t="shared" ref="Q21:Q36" si="4">+C21-15018.5</f>
        <v>12451.5389</v>
      </c>
    </row>
    <row r="22" spans="1:18" x14ac:dyDescent="0.2">
      <c r="A22" s="45" t="s">
        <v>65</v>
      </c>
      <c r="B22" s="47" t="s">
        <v>36</v>
      </c>
      <c r="C22" s="46">
        <v>35200.113100000002</v>
      </c>
      <c r="D22" s="46" t="s">
        <v>53</v>
      </c>
      <c r="E22">
        <f t="shared" si="0"/>
        <v>-24000.717092010851</v>
      </c>
      <c r="F22">
        <f t="shared" si="1"/>
        <v>-24000.5</v>
      </c>
      <c r="G22">
        <f t="shared" si="2"/>
        <v>-0.15648599999258295</v>
      </c>
      <c r="K22">
        <f>+G22</f>
        <v>-0.15648599999258295</v>
      </c>
      <c r="O22">
        <f t="shared" ca="1" si="3"/>
        <v>-8.6933353012744172E-2</v>
      </c>
      <c r="Q22" s="2">
        <f t="shared" si="4"/>
        <v>20181.613100000002</v>
      </c>
    </row>
    <row r="23" spans="1:18" x14ac:dyDescent="0.2">
      <c r="A23" s="45" t="s">
        <v>72</v>
      </c>
      <c r="B23" s="47" t="s">
        <v>36</v>
      </c>
      <c r="C23" s="46">
        <v>51925.8963</v>
      </c>
      <c r="D23" s="46" t="s">
        <v>53</v>
      </c>
      <c r="E23">
        <f t="shared" si="0"/>
        <v>-797.14675345574813</v>
      </c>
      <c r="F23">
        <f t="shared" si="1"/>
        <v>-797</v>
      </c>
      <c r="G23">
        <f t="shared" si="2"/>
        <v>-0.10578399999940302</v>
      </c>
      <c r="K23">
        <f>+G23</f>
        <v>-0.10578399999940302</v>
      </c>
      <c r="O23">
        <f t="shared" ca="1" si="3"/>
        <v>-1.9098607962819297E-2</v>
      </c>
      <c r="Q23" s="2">
        <f t="shared" si="4"/>
        <v>36907.3963</v>
      </c>
      <c r="R23" t="s">
        <v>45</v>
      </c>
    </row>
    <row r="24" spans="1:18" x14ac:dyDescent="0.2">
      <c r="A24" s="45" t="s">
        <v>72</v>
      </c>
      <c r="B24" s="47" t="s">
        <v>36</v>
      </c>
      <c r="C24" s="46">
        <v>52205.213100000001</v>
      </c>
      <c r="D24" s="46" t="s">
        <v>53</v>
      </c>
      <c r="E24">
        <f t="shared" si="0"/>
        <v>-409.65237199442799</v>
      </c>
      <c r="F24">
        <f t="shared" si="1"/>
        <v>-409.5</v>
      </c>
      <c r="G24">
        <f t="shared" si="2"/>
        <v>-0.1098340000025928</v>
      </c>
      <c r="K24">
        <f>+G24</f>
        <v>-0.1098340000025928</v>
      </c>
      <c r="O24">
        <f t="shared" ca="1" si="3"/>
        <v>-1.7965763189106455E-2</v>
      </c>
      <c r="Q24" s="2">
        <f t="shared" si="4"/>
        <v>37186.713100000001</v>
      </c>
      <c r="R24" t="s">
        <v>45</v>
      </c>
    </row>
    <row r="25" spans="1:18" x14ac:dyDescent="0.2">
      <c r="A25" s="31" t="s">
        <v>37</v>
      </c>
      <c r="B25" s="30" t="s">
        <v>36</v>
      </c>
      <c r="C25" s="31">
        <v>52500.502</v>
      </c>
      <c r="D25" s="28"/>
      <c r="E25">
        <f t="shared" si="0"/>
        <v>0</v>
      </c>
      <c r="F25">
        <f t="shared" si="1"/>
        <v>0</v>
      </c>
      <c r="G25">
        <f t="shared" si="2"/>
        <v>0</v>
      </c>
      <c r="I25">
        <f>+G25</f>
        <v>0</v>
      </c>
      <c r="O25">
        <f t="shared" ca="1" si="3"/>
        <v>-1.6768602066950564E-2</v>
      </c>
      <c r="Q25" s="2">
        <f t="shared" si="4"/>
        <v>37482.002</v>
      </c>
    </row>
    <row r="26" spans="1:18" x14ac:dyDescent="0.2">
      <c r="A26" s="45" t="s">
        <v>72</v>
      </c>
      <c r="B26" s="47" t="s">
        <v>36</v>
      </c>
      <c r="C26" s="46">
        <v>52663.167099999999</v>
      </c>
      <c r="D26" s="46" t="s">
        <v>53</v>
      </c>
      <c r="E26">
        <f t="shared" si="0"/>
        <v>225.66423612844997</v>
      </c>
      <c r="F26">
        <f t="shared" si="1"/>
        <v>225.5</v>
      </c>
      <c r="G26">
        <f t="shared" si="2"/>
        <v>0.11838600000191946</v>
      </c>
      <c r="K26">
        <f t="shared" ref="K26:K36" si="5">+G26</f>
        <v>0.11838600000191946</v>
      </c>
      <c r="O26">
        <f t="shared" ca="1" si="3"/>
        <v>-1.6109359495409287E-2</v>
      </c>
      <c r="Q26" s="2">
        <f t="shared" si="4"/>
        <v>37644.667099999999</v>
      </c>
      <c r="R26" t="s">
        <v>45</v>
      </c>
    </row>
    <row r="27" spans="1:18" x14ac:dyDescent="0.2">
      <c r="A27" s="45" t="s">
        <v>72</v>
      </c>
      <c r="B27" s="47" t="s">
        <v>36</v>
      </c>
      <c r="C27" s="46">
        <v>53020.494299999998</v>
      </c>
      <c r="D27" s="46" t="s">
        <v>53</v>
      </c>
      <c r="E27">
        <f t="shared" si="0"/>
        <v>721.3819385484444</v>
      </c>
      <c r="F27">
        <f t="shared" si="1"/>
        <v>721.5</v>
      </c>
      <c r="G27">
        <f t="shared" si="2"/>
        <v>-8.5102000004553702E-2</v>
      </c>
      <c r="K27">
        <f t="shared" si="5"/>
        <v>-8.5102000004553702E-2</v>
      </c>
      <c r="O27">
        <f t="shared" ca="1" si="3"/>
        <v>-1.4659318185056849E-2</v>
      </c>
      <c r="Q27" s="2">
        <f t="shared" si="4"/>
        <v>38001.994299999998</v>
      </c>
      <c r="R27" t="s">
        <v>45</v>
      </c>
    </row>
    <row r="28" spans="1:18" x14ac:dyDescent="0.2">
      <c r="A28" s="45" t="s">
        <v>72</v>
      </c>
      <c r="B28" s="47" t="s">
        <v>36</v>
      </c>
      <c r="C28" s="46">
        <v>53408.0095</v>
      </c>
      <c r="D28" s="46" t="s">
        <v>53</v>
      </c>
      <c r="E28">
        <f t="shared" si="0"/>
        <v>1258.9792571875671</v>
      </c>
      <c r="F28">
        <f t="shared" si="1"/>
        <v>1259</v>
      </c>
      <c r="G28">
        <f t="shared" si="2"/>
        <v>-1.4951999997720122E-2</v>
      </c>
      <c r="K28">
        <f t="shared" si="5"/>
        <v>-1.4951999997720122E-2</v>
      </c>
      <c r="O28">
        <f t="shared" ca="1" si="3"/>
        <v>-1.3087952853777748E-2</v>
      </c>
      <c r="Q28" s="2">
        <f t="shared" si="4"/>
        <v>38389.5095</v>
      </c>
      <c r="R28" t="s">
        <v>45</v>
      </c>
    </row>
    <row r="29" spans="1:18" x14ac:dyDescent="0.2">
      <c r="A29" s="45" t="s">
        <v>72</v>
      </c>
      <c r="B29" s="47" t="s">
        <v>36</v>
      </c>
      <c r="C29" s="46">
        <v>53755.266499999998</v>
      </c>
      <c r="D29" s="46" t="s">
        <v>53</v>
      </c>
      <c r="E29">
        <f t="shared" si="0"/>
        <v>1740.7266365901401</v>
      </c>
      <c r="F29">
        <f t="shared" si="1"/>
        <v>1740.5</v>
      </c>
      <c r="G29">
        <f t="shared" si="2"/>
        <v>0.16336600000067847</v>
      </c>
      <c r="K29">
        <f t="shared" si="5"/>
        <v>0.16336600000067847</v>
      </c>
      <c r="O29">
        <f t="shared" ca="1" si="3"/>
        <v>-1.168030186399005E-2</v>
      </c>
      <c r="Q29" s="2">
        <f t="shared" si="4"/>
        <v>38736.766499999998</v>
      </c>
      <c r="R29" t="s">
        <v>45</v>
      </c>
    </row>
    <row r="30" spans="1:18" x14ac:dyDescent="0.2">
      <c r="A30" s="48" t="s">
        <v>41</v>
      </c>
      <c r="B30" s="30" t="s">
        <v>36</v>
      </c>
      <c r="C30" s="31">
        <v>54064.7022</v>
      </c>
      <c r="D30" s="31">
        <v>4.0000000000000002E-4</v>
      </c>
      <c r="E30">
        <f t="shared" si="0"/>
        <v>2170.0047722896438</v>
      </c>
      <c r="F30">
        <f t="shared" si="1"/>
        <v>2170</v>
      </c>
      <c r="G30">
        <f t="shared" si="2"/>
        <v>3.4400000004097819E-3</v>
      </c>
      <c r="K30">
        <f t="shared" si="5"/>
        <v>3.4400000004097819E-3</v>
      </c>
      <c r="O30">
        <f t="shared" ca="1" si="3"/>
        <v>-1.0424671334158659E-2</v>
      </c>
      <c r="Q30" s="2">
        <f t="shared" si="4"/>
        <v>39046.2022</v>
      </c>
      <c r="R30" t="s">
        <v>45</v>
      </c>
    </row>
    <row r="31" spans="1:18" x14ac:dyDescent="0.2">
      <c r="A31" s="48" t="s">
        <v>41</v>
      </c>
      <c r="B31" s="30" t="s">
        <v>36</v>
      </c>
      <c r="C31" s="31">
        <v>54069.745199999998</v>
      </c>
      <c r="D31" s="31">
        <v>6.9999999999999999E-4</v>
      </c>
      <c r="E31">
        <f t="shared" si="0"/>
        <v>2177.000893417011</v>
      </c>
      <c r="F31">
        <f t="shared" si="1"/>
        <v>2177</v>
      </c>
      <c r="G31">
        <f t="shared" si="2"/>
        <v>6.4399999973829836E-4</v>
      </c>
      <c r="K31">
        <f t="shared" si="5"/>
        <v>6.4399999973829836E-4</v>
      </c>
      <c r="O31">
        <f t="shared" ca="1" si="3"/>
        <v>-1.0404207041472232E-2</v>
      </c>
      <c r="Q31" s="2">
        <f t="shared" si="4"/>
        <v>39051.245199999998</v>
      </c>
      <c r="R31" t="s">
        <v>45</v>
      </c>
    </row>
    <row r="32" spans="1:18" x14ac:dyDescent="0.2">
      <c r="A32" s="48" t="s">
        <v>41</v>
      </c>
      <c r="B32" s="30" t="s">
        <v>42</v>
      </c>
      <c r="C32" s="31">
        <v>54120.564700000003</v>
      </c>
      <c r="D32" s="31">
        <v>1.6000000000000001E-3</v>
      </c>
      <c r="E32">
        <f t="shared" si="0"/>
        <v>2247.5024555095006</v>
      </c>
      <c r="F32">
        <f t="shared" si="1"/>
        <v>2247.5</v>
      </c>
      <c r="G32">
        <f t="shared" si="2"/>
        <v>1.7700000025797635E-3</v>
      </c>
      <c r="K32">
        <f t="shared" si="5"/>
        <v>1.7700000025797635E-3</v>
      </c>
      <c r="O32">
        <f t="shared" ca="1" si="3"/>
        <v>-1.0198102379416089E-2</v>
      </c>
      <c r="Q32" s="2">
        <f t="shared" si="4"/>
        <v>39102.064700000003</v>
      </c>
      <c r="R32" t="s">
        <v>45</v>
      </c>
    </row>
    <row r="33" spans="1:18" x14ac:dyDescent="0.2">
      <c r="A33" s="45" t="s">
        <v>72</v>
      </c>
      <c r="B33" s="47" t="s">
        <v>36</v>
      </c>
      <c r="C33" s="46">
        <v>54150.338199999998</v>
      </c>
      <c r="D33" s="46" t="s">
        <v>53</v>
      </c>
      <c r="E33">
        <f t="shared" si="0"/>
        <v>2288.8070385723054</v>
      </c>
      <c r="F33">
        <f t="shared" si="1"/>
        <v>2289</v>
      </c>
      <c r="G33">
        <f t="shared" si="2"/>
        <v>-0.13909200000489363</v>
      </c>
      <c r="K33">
        <f t="shared" si="5"/>
        <v>-0.13909200000489363</v>
      </c>
      <c r="O33">
        <f t="shared" ca="1" si="3"/>
        <v>-1.0076778358489424E-2</v>
      </c>
      <c r="Q33" s="2">
        <f t="shared" si="4"/>
        <v>39131.838199999998</v>
      </c>
      <c r="R33" t="s">
        <v>45</v>
      </c>
    </row>
    <row r="34" spans="1:18" x14ac:dyDescent="0.2">
      <c r="A34" s="45" t="s">
        <v>72</v>
      </c>
      <c r="B34" s="47" t="s">
        <v>36</v>
      </c>
      <c r="C34" s="46">
        <v>54474.943399999996</v>
      </c>
      <c r="D34" s="46" t="s">
        <v>53</v>
      </c>
      <c r="E34">
        <f t="shared" si="0"/>
        <v>2739.1297230407199</v>
      </c>
      <c r="F34">
        <f t="shared" si="1"/>
        <v>2739</v>
      </c>
      <c r="G34">
        <f t="shared" si="2"/>
        <v>9.3507999998109881E-2</v>
      </c>
      <c r="K34">
        <f t="shared" si="5"/>
        <v>9.3507999998109881E-2</v>
      </c>
      <c r="O34">
        <f t="shared" ca="1" si="3"/>
        <v>-8.7612166857906418E-3</v>
      </c>
      <c r="Q34" s="2">
        <f t="shared" si="4"/>
        <v>39456.443399999996</v>
      </c>
      <c r="R34" t="s">
        <v>45</v>
      </c>
    </row>
    <row r="35" spans="1:18" x14ac:dyDescent="0.2">
      <c r="A35" s="45" t="s">
        <v>72</v>
      </c>
      <c r="B35" s="47" t="s">
        <v>36</v>
      </c>
      <c r="C35" s="46">
        <v>54784.478499999997</v>
      </c>
      <c r="D35" s="46" t="s">
        <v>53</v>
      </c>
      <c r="E35">
        <f t="shared" si="0"/>
        <v>3168.5457557142577</v>
      </c>
      <c r="F35">
        <f t="shared" si="1"/>
        <v>3168.5</v>
      </c>
      <c r="G35">
        <f t="shared" si="2"/>
        <v>3.2981999996991362E-2</v>
      </c>
      <c r="K35">
        <f t="shared" si="5"/>
        <v>3.2981999996991362E-2</v>
      </c>
      <c r="O35">
        <f t="shared" ca="1" si="3"/>
        <v>-7.5055861559592488E-3</v>
      </c>
      <c r="Q35" s="2">
        <f t="shared" si="4"/>
        <v>39765.978499999997</v>
      </c>
      <c r="R35" t="s">
        <v>45</v>
      </c>
    </row>
    <row r="36" spans="1:18" x14ac:dyDescent="0.2">
      <c r="A36" s="45" t="s">
        <v>72</v>
      </c>
      <c r="B36" s="47" t="s">
        <v>36</v>
      </c>
      <c r="C36" s="46">
        <v>55083.905599999998</v>
      </c>
      <c r="D36" s="46" t="s">
        <v>53</v>
      </c>
      <c r="E36">
        <f t="shared" si="0"/>
        <v>3583.9390256760248</v>
      </c>
      <c r="F36">
        <f t="shared" si="1"/>
        <v>3584</v>
      </c>
      <c r="G36">
        <f t="shared" si="2"/>
        <v>-4.3951999999990221E-2</v>
      </c>
      <c r="K36">
        <f t="shared" si="5"/>
        <v>-4.3951999999990221E-2</v>
      </c>
      <c r="O36">
        <f t="shared" ca="1" si="3"/>
        <v>-6.2908842115007059E-3</v>
      </c>
      <c r="Q36" s="2">
        <f t="shared" si="4"/>
        <v>40065.405599999998</v>
      </c>
      <c r="R36" t="e">
        <v>#N/A</v>
      </c>
    </row>
    <row r="37" spans="1:18" x14ac:dyDescent="0.2">
      <c r="A37" s="49" t="s">
        <v>0</v>
      </c>
      <c r="B37" s="50" t="s">
        <v>36</v>
      </c>
      <c r="C37" s="51">
        <v>57775.46</v>
      </c>
      <c r="D37" s="51">
        <v>5.0000000000000001E-3</v>
      </c>
      <c r="E37">
        <f t="shared" ref="E37" si="6">+(C37-C$7)/C$8</f>
        <v>7317.9149533591908</v>
      </c>
      <c r="F37">
        <f t="shared" ref="F37" si="7">ROUND(2*E37,0)/2</f>
        <v>7318</v>
      </c>
      <c r="G37">
        <f t="shared" ref="G37" si="8">+C37-(C$7+F37*C$8)</f>
        <v>-6.1304000002564862E-2</v>
      </c>
      <c r="K37">
        <f t="shared" ref="K37" si="9">+G37</f>
        <v>-6.1304000002564862E-2</v>
      </c>
      <c r="O37">
        <f t="shared" ref="O37" ca="1" si="10">+C$11+C$12*$F37</f>
        <v>4.6253542015154137E-3</v>
      </c>
      <c r="Q37" s="2">
        <f t="shared" ref="Q37" si="11">+C37-15018.5</f>
        <v>42756.959999999999</v>
      </c>
    </row>
    <row r="38" spans="1:18" x14ac:dyDescent="0.2">
      <c r="B38" s="3"/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H167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workbookViewId="0">
      <selection activeCell="A11" sqref="A11:D2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43</v>
      </c>
      <c r="I1" s="33" t="s">
        <v>44</v>
      </c>
      <c r="J1" s="34" t="s">
        <v>45</v>
      </c>
    </row>
    <row r="2" spans="1:16" x14ac:dyDescent="0.2">
      <c r="I2" s="35" t="s">
        <v>46</v>
      </c>
      <c r="J2" s="36" t="s">
        <v>47</v>
      </c>
    </row>
    <row r="3" spans="1:16" x14ac:dyDescent="0.2">
      <c r="A3" s="37" t="s">
        <v>48</v>
      </c>
      <c r="I3" s="35" t="s">
        <v>49</v>
      </c>
      <c r="J3" s="36" t="s">
        <v>50</v>
      </c>
    </row>
    <row r="4" spans="1:16" x14ac:dyDescent="0.2">
      <c r="I4" s="35" t="s">
        <v>51</v>
      </c>
      <c r="J4" s="36" t="s">
        <v>50</v>
      </c>
    </row>
    <row r="5" spans="1:16" ht="13.5" thickBot="1" x14ac:dyDescent="0.25">
      <c r="I5" s="38" t="s">
        <v>52</v>
      </c>
      <c r="J5" s="39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 PSMO 8.2.106 </v>
      </c>
      <c r="B11" s="3" t="str">
        <f t="shared" ref="B11:B22" si="1">IF(H11=INT(H11),"I","II")</f>
        <v>I</v>
      </c>
      <c r="C11" s="10">
        <f t="shared" ref="C11:C22" si="2">1*G11</f>
        <v>27470.0389</v>
      </c>
      <c r="D11" s="12" t="str">
        <f t="shared" ref="D11:D22" si="3">VLOOKUP(F11,I$1:J$5,2,FALSE)</f>
        <v>vis</v>
      </c>
      <c r="E11" s="40">
        <f>VLOOKUP(C11,Active!C$21:E$973,3,FALSE)</f>
        <v>-34724.598794719408</v>
      </c>
      <c r="F11" s="3" t="s">
        <v>52</v>
      </c>
      <c r="G11" s="12" t="str">
        <f t="shared" ref="G11:G22" si="4">MID(I11,3,LEN(I11)-3)</f>
        <v>27470.0389</v>
      </c>
      <c r="H11" s="10">
        <f t="shared" ref="H11:H22" si="5">1*K11</f>
        <v>-9719</v>
      </c>
      <c r="I11" s="41" t="s">
        <v>54</v>
      </c>
      <c r="J11" s="42" t="s">
        <v>55</v>
      </c>
      <c r="K11" s="41">
        <v>-9719</v>
      </c>
      <c r="L11" s="41" t="s">
        <v>56</v>
      </c>
      <c r="M11" s="42" t="s">
        <v>57</v>
      </c>
      <c r="N11" s="42"/>
      <c r="O11" s="43" t="s">
        <v>58</v>
      </c>
      <c r="P11" s="43" t="s">
        <v>59</v>
      </c>
    </row>
    <row r="12" spans="1:16" ht="12.75" customHeight="1" thickBot="1" x14ac:dyDescent="0.25">
      <c r="A12" s="10" t="str">
        <f t="shared" si="0"/>
        <v> APJS 6.253 </v>
      </c>
      <c r="B12" s="3" t="str">
        <f t="shared" si="1"/>
        <v>I</v>
      </c>
      <c r="C12" s="10">
        <f t="shared" si="2"/>
        <v>35200.113100000002</v>
      </c>
      <c r="D12" s="12" t="str">
        <f t="shared" si="3"/>
        <v>vis</v>
      </c>
      <c r="E12" s="40">
        <f>VLOOKUP(C12,Active!C$21:E$973,3,FALSE)</f>
        <v>-24000.717092010851</v>
      </c>
      <c r="F12" s="3" t="s">
        <v>52</v>
      </c>
      <c r="G12" s="12" t="str">
        <f t="shared" si="4"/>
        <v>35200.1131</v>
      </c>
      <c r="H12" s="10">
        <f t="shared" si="5"/>
        <v>-6647</v>
      </c>
      <c r="I12" s="41" t="s">
        <v>60</v>
      </c>
      <c r="J12" s="42" t="s">
        <v>61</v>
      </c>
      <c r="K12" s="41">
        <v>-6647</v>
      </c>
      <c r="L12" s="41" t="s">
        <v>62</v>
      </c>
      <c r="M12" s="42" t="s">
        <v>63</v>
      </c>
      <c r="N12" s="42"/>
      <c r="O12" s="43" t="s">
        <v>64</v>
      </c>
      <c r="P12" s="43" t="s">
        <v>65</v>
      </c>
    </row>
    <row r="13" spans="1:16" ht="12.75" customHeight="1" thickBot="1" x14ac:dyDescent="0.25">
      <c r="A13" s="10" t="str">
        <f t="shared" si="0"/>
        <v>IBVS 6038 </v>
      </c>
      <c r="B13" s="3" t="str">
        <f t="shared" si="1"/>
        <v>I</v>
      </c>
      <c r="C13" s="10">
        <f t="shared" si="2"/>
        <v>51925.8963</v>
      </c>
      <c r="D13" s="12" t="str">
        <f t="shared" si="3"/>
        <v>vis</v>
      </c>
      <c r="E13" s="40">
        <f>VLOOKUP(C13,Active!C$21:E$973,3,FALSE)</f>
        <v>-797.14675345574813</v>
      </c>
      <c r="F13" s="3" t="s">
        <v>52</v>
      </c>
      <c r="G13" s="12" t="str">
        <f t="shared" si="4"/>
        <v>51925.8963</v>
      </c>
      <c r="H13" s="10">
        <f t="shared" si="5"/>
        <v>0</v>
      </c>
      <c r="I13" s="41" t="s">
        <v>66</v>
      </c>
      <c r="J13" s="42" t="s">
        <v>67</v>
      </c>
      <c r="K13" s="41">
        <v>0</v>
      </c>
      <c r="L13" s="41" t="s">
        <v>68</v>
      </c>
      <c r="M13" s="42" t="s">
        <v>69</v>
      </c>
      <c r="N13" s="42" t="s">
        <v>70</v>
      </c>
      <c r="O13" s="43" t="s">
        <v>71</v>
      </c>
      <c r="P13" s="44" t="s">
        <v>72</v>
      </c>
    </row>
    <row r="14" spans="1:16" ht="12.75" customHeight="1" thickBot="1" x14ac:dyDescent="0.25">
      <c r="A14" s="10" t="str">
        <f t="shared" si="0"/>
        <v>IBVS 6038 </v>
      </c>
      <c r="B14" s="3" t="str">
        <f t="shared" si="1"/>
        <v>I</v>
      </c>
      <c r="C14" s="10">
        <f t="shared" si="2"/>
        <v>52205.213100000001</v>
      </c>
      <c r="D14" s="12" t="str">
        <f t="shared" si="3"/>
        <v>vis</v>
      </c>
      <c r="E14" s="40">
        <f>VLOOKUP(C14,Active!C$21:E$973,3,FALSE)</f>
        <v>-409.65237199442799</v>
      </c>
      <c r="F14" s="3" t="s">
        <v>52</v>
      </c>
      <c r="G14" s="12" t="str">
        <f t="shared" si="4"/>
        <v>52205.2131</v>
      </c>
      <c r="H14" s="10">
        <f t="shared" si="5"/>
        <v>111</v>
      </c>
      <c r="I14" s="41" t="s">
        <v>73</v>
      </c>
      <c r="J14" s="42" t="s">
        <v>74</v>
      </c>
      <c r="K14" s="41">
        <v>111</v>
      </c>
      <c r="L14" s="41" t="s">
        <v>75</v>
      </c>
      <c r="M14" s="42" t="s">
        <v>69</v>
      </c>
      <c r="N14" s="42" t="s">
        <v>70</v>
      </c>
      <c r="O14" s="43" t="s">
        <v>71</v>
      </c>
      <c r="P14" s="44" t="s">
        <v>72</v>
      </c>
    </row>
    <row r="15" spans="1:16" ht="12.75" customHeight="1" thickBot="1" x14ac:dyDescent="0.25">
      <c r="A15" s="10" t="str">
        <f t="shared" si="0"/>
        <v>IBVS 6038 </v>
      </c>
      <c r="B15" s="3" t="str">
        <f t="shared" si="1"/>
        <v>I</v>
      </c>
      <c r="C15" s="10">
        <f t="shared" si="2"/>
        <v>52663.167099999999</v>
      </c>
      <c r="D15" s="12" t="str">
        <f t="shared" si="3"/>
        <v>vis</v>
      </c>
      <c r="E15" s="40">
        <f>VLOOKUP(C15,Active!C$21:E$973,3,FALSE)</f>
        <v>225.66423612844997</v>
      </c>
      <c r="F15" s="3" t="s">
        <v>52</v>
      </c>
      <c r="G15" s="12" t="str">
        <f t="shared" si="4"/>
        <v>52663.1671</v>
      </c>
      <c r="H15" s="10">
        <f t="shared" si="5"/>
        <v>293</v>
      </c>
      <c r="I15" s="41" t="s">
        <v>76</v>
      </c>
      <c r="J15" s="42" t="s">
        <v>77</v>
      </c>
      <c r="K15" s="41">
        <v>293</v>
      </c>
      <c r="L15" s="41" t="s">
        <v>78</v>
      </c>
      <c r="M15" s="42" t="s">
        <v>69</v>
      </c>
      <c r="N15" s="42" t="s">
        <v>70</v>
      </c>
      <c r="O15" s="43" t="s">
        <v>71</v>
      </c>
      <c r="P15" s="44" t="s">
        <v>72</v>
      </c>
    </row>
    <row r="16" spans="1:16" ht="12.75" customHeight="1" thickBot="1" x14ac:dyDescent="0.25">
      <c r="A16" s="10" t="str">
        <f t="shared" si="0"/>
        <v>IBVS 6038 </v>
      </c>
      <c r="B16" s="3" t="str">
        <f t="shared" si="1"/>
        <v>I</v>
      </c>
      <c r="C16" s="10">
        <f t="shared" si="2"/>
        <v>53020.494299999998</v>
      </c>
      <c r="D16" s="12" t="str">
        <f t="shared" si="3"/>
        <v>vis</v>
      </c>
      <c r="E16" s="40">
        <f>VLOOKUP(C16,Active!C$21:E$973,3,FALSE)</f>
        <v>721.3819385484444</v>
      </c>
      <c r="F16" s="3" t="s">
        <v>52</v>
      </c>
      <c r="G16" s="12" t="str">
        <f t="shared" si="4"/>
        <v>53020.4943</v>
      </c>
      <c r="H16" s="10">
        <f t="shared" si="5"/>
        <v>435</v>
      </c>
      <c r="I16" s="41" t="s">
        <v>79</v>
      </c>
      <c r="J16" s="42" t="s">
        <v>80</v>
      </c>
      <c r="K16" s="41">
        <v>435</v>
      </c>
      <c r="L16" s="41" t="s">
        <v>81</v>
      </c>
      <c r="M16" s="42" t="s">
        <v>69</v>
      </c>
      <c r="N16" s="42" t="s">
        <v>70</v>
      </c>
      <c r="O16" s="43" t="s">
        <v>71</v>
      </c>
      <c r="P16" s="44" t="s">
        <v>72</v>
      </c>
    </row>
    <row r="17" spans="1:16" ht="12.75" customHeight="1" thickBot="1" x14ac:dyDescent="0.25">
      <c r="A17" s="10" t="str">
        <f t="shared" si="0"/>
        <v>IBVS 6038 </v>
      </c>
      <c r="B17" s="3" t="str">
        <f t="shared" si="1"/>
        <v>I</v>
      </c>
      <c r="C17" s="10">
        <f t="shared" si="2"/>
        <v>53408.0095</v>
      </c>
      <c r="D17" s="12" t="str">
        <f t="shared" si="3"/>
        <v>vis</v>
      </c>
      <c r="E17" s="40">
        <f>VLOOKUP(C17,Active!C$21:E$973,3,FALSE)</f>
        <v>1258.9792571875671</v>
      </c>
      <c r="F17" s="3" t="s">
        <v>52</v>
      </c>
      <c r="G17" s="12" t="str">
        <f t="shared" si="4"/>
        <v>53408.0095</v>
      </c>
      <c r="H17" s="10">
        <f t="shared" si="5"/>
        <v>589</v>
      </c>
      <c r="I17" s="41" t="s">
        <v>82</v>
      </c>
      <c r="J17" s="42" t="s">
        <v>83</v>
      </c>
      <c r="K17" s="41">
        <v>589</v>
      </c>
      <c r="L17" s="41" t="s">
        <v>84</v>
      </c>
      <c r="M17" s="42" t="s">
        <v>69</v>
      </c>
      <c r="N17" s="42" t="s">
        <v>70</v>
      </c>
      <c r="O17" s="43" t="s">
        <v>71</v>
      </c>
      <c r="P17" s="44" t="s">
        <v>72</v>
      </c>
    </row>
    <row r="18" spans="1:16" ht="12.75" customHeight="1" thickBot="1" x14ac:dyDescent="0.25">
      <c r="A18" s="10" t="str">
        <f t="shared" si="0"/>
        <v>IBVS 6038 </v>
      </c>
      <c r="B18" s="3" t="str">
        <f t="shared" si="1"/>
        <v>I</v>
      </c>
      <c r="C18" s="10">
        <f t="shared" si="2"/>
        <v>53755.266499999998</v>
      </c>
      <c r="D18" s="12" t="str">
        <f t="shared" si="3"/>
        <v>vis</v>
      </c>
      <c r="E18" s="40">
        <f>VLOOKUP(C18,Active!C$21:E$973,3,FALSE)</f>
        <v>1740.7266365901401</v>
      </c>
      <c r="F18" s="3" t="s">
        <v>52</v>
      </c>
      <c r="G18" s="12" t="str">
        <f t="shared" si="4"/>
        <v>53755.2665</v>
      </c>
      <c r="H18" s="10">
        <f t="shared" si="5"/>
        <v>727</v>
      </c>
      <c r="I18" s="41" t="s">
        <v>85</v>
      </c>
      <c r="J18" s="42" t="s">
        <v>86</v>
      </c>
      <c r="K18" s="41">
        <v>727</v>
      </c>
      <c r="L18" s="41" t="s">
        <v>87</v>
      </c>
      <c r="M18" s="42" t="s">
        <v>69</v>
      </c>
      <c r="N18" s="42" t="s">
        <v>70</v>
      </c>
      <c r="O18" s="43" t="s">
        <v>71</v>
      </c>
      <c r="P18" s="44" t="s">
        <v>72</v>
      </c>
    </row>
    <row r="19" spans="1:16" ht="12.75" customHeight="1" thickBot="1" x14ac:dyDescent="0.25">
      <c r="A19" s="10" t="str">
        <f t="shared" si="0"/>
        <v>IBVS 6038 </v>
      </c>
      <c r="B19" s="3" t="str">
        <f t="shared" si="1"/>
        <v>I</v>
      </c>
      <c r="C19" s="10">
        <f t="shared" si="2"/>
        <v>54150.338199999998</v>
      </c>
      <c r="D19" s="12" t="str">
        <f t="shared" si="3"/>
        <v>vis</v>
      </c>
      <c r="E19" s="40">
        <f>VLOOKUP(C19,Active!C$21:E$973,3,FALSE)</f>
        <v>2288.8070385723054</v>
      </c>
      <c r="F19" s="3" t="s">
        <v>52</v>
      </c>
      <c r="G19" s="12" t="str">
        <f t="shared" si="4"/>
        <v>54150.3382</v>
      </c>
      <c r="H19" s="10">
        <f t="shared" si="5"/>
        <v>884</v>
      </c>
      <c r="I19" s="41" t="s">
        <v>88</v>
      </c>
      <c r="J19" s="42" t="s">
        <v>89</v>
      </c>
      <c r="K19" s="41">
        <v>884</v>
      </c>
      <c r="L19" s="41" t="s">
        <v>90</v>
      </c>
      <c r="M19" s="42" t="s">
        <v>69</v>
      </c>
      <c r="N19" s="42" t="s">
        <v>70</v>
      </c>
      <c r="O19" s="43" t="s">
        <v>71</v>
      </c>
      <c r="P19" s="44" t="s">
        <v>72</v>
      </c>
    </row>
    <row r="20" spans="1:16" ht="12.75" customHeight="1" thickBot="1" x14ac:dyDescent="0.25">
      <c r="A20" s="10" t="str">
        <f t="shared" si="0"/>
        <v>IBVS 6038 </v>
      </c>
      <c r="B20" s="3" t="str">
        <f t="shared" si="1"/>
        <v>I</v>
      </c>
      <c r="C20" s="10">
        <f t="shared" si="2"/>
        <v>54474.943399999996</v>
      </c>
      <c r="D20" s="12" t="str">
        <f t="shared" si="3"/>
        <v>vis</v>
      </c>
      <c r="E20" s="40">
        <f>VLOOKUP(C20,Active!C$21:E$973,3,FALSE)</f>
        <v>2739.1297230407199</v>
      </c>
      <c r="F20" s="3" t="s">
        <v>52</v>
      </c>
      <c r="G20" s="12" t="str">
        <f t="shared" si="4"/>
        <v>54474.9434</v>
      </c>
      <c r="H20" s="10">
        <f t="shared" si="5"/>
        <v>1013</v>
      </c>
      <c r="I20" s="41" t="s">
        <v>91</v>
      </c>
      <c r="J20" s="42" t="s">
        <v>92</v>
      </c>
      <c r="K20" s="41">
        <v>1013</v>
      </c>
      <c r="L20" s="41" t="s">
        <v>93</v>
      </c>
      <c r="M20" s="42" t="s">
        <v>69</v>
      </c>
      <c r="N20" s="42" t="s">
        <v>70</v>
      </c>
      <c r="O20" s="43" t="s">
        <v>71</v>
      </c>
      <c r="P20" s="44" t="s">
        <v>72</v>
      </c>
    </row>
    <row r="21" spans="1:16" ht="12.75" customHeight="1" thickBot="1" x14ac:dyDescent="0.25">
      <c r="A21" s="10" t="str">
        <f t="shared" si="0"/>
        <v>IBVS 6038 </v>
      </c>
      <c r="B21" s="3" t="str">
        <f t="shared" si="1"/>
        <v>I</v>
      </c>
      <c r="C21" s="10">
        <f t="shared" si="2"/>
        <v>54784.478499999997</v>
      </c>
      <c r="D21" s="12" t="str">
        <f t="shared" si="3"/>
        <v>vis</v>
      </c>
      <c r="E21" s="40">
        <f>VLOOKUP(C21,Active!C$21:E$973,3,FALSE)</f>
        <v>3168.5457557142577</v>
      </c>
      <c r="F21" s="3" t="s">
        <v>52</v>
      </c>
      <c r="G21" s="12" t="str">
        <f t="shared" si="4"/>
        <v>54784.4785</v>
      </c>
      <c r="H21" s="10">
        <f t="shared" si="5"/>
        <v>1136</v>
      </c>
      <c r="I21" s="41" t="s">
        <v>94</v>
      </c>
      <c r="J21" s="42" t="s">
        <v>95</v>
      </c>
      <c r="K21" s="41">
        <v>1136</v>
      </c>
      <c r="L21" s="41" t="s">
        <v>96</v>
      </c>
      <c r="M21" s="42" t="s">
        <v>69</v>
      </c>
      <c r="N21" s="42" t="s">
        <v>70</v>
      </c>
      <c r="O21" s="43" t="s">
        <v>71</v>
      </c>
      <c r="P21" s="44" t="s">
        <v>72</v>
      </c>
    </row>
    <row r="22" spans="1:16" ht="12.75" customHeight="1" thickBot="1" x14ac:dyDescent="0.25">
      <c r="A22" s="10" t="str">
        <f t="shared" si="0"/>
        <v>IBVS 6038 </v>
      </c>
      <c r="B22" s="3" t="str">
        <f t="shared" si="1"/>
        <v>I</v>
      </c>
      <c r="C22" s="10">
        <f t="shared" si="2"/>
        <v>55083.905599999998</v>
      </c>
      <c r="D22" s="12" t="str">
        <f t="shared" si="3"/>
        <v>vis</v>
      </c>
      <c r="E22" s="40">
        <f>VLOOKUP(C22,Active!C$21:E$973,3,FALSE)</f>
        <v>3583.9390256760248</v>
      </c>
      <c r="F22" s="3" t="s">
        <v>52</v>
      </c>
      <c r="G22" s="12" t="str">
        <f t="shared" si="4"/>
        <v>55083.9056</v>
      </c>
      <c r="H22" s="10">
        <f t="shared" si="5"/>
        <v>1255</v>
      </c>
      <c r="I22" s="41" t="s">
        <v>97</v>
      </c>
      <c r="J22" s="42" t="s">
        <v>98</v>
      </c>
      <c r="K22" s="41">
        <v>1255</v>
      </c>
      <c r="L22" s="41" t="s">
        <v>99</v>
      </c>
      <c r="M22" s="42" t="s">
        <v>69</v>
      </c>
      <c r="N22" s="42" t="s">
        <v>70</v>
      </c>
      <c r="O22" s="43" t="s">
        <v>71</v>
      </c>
      <c r="P22" s="44" t="s">
        <v>72</v>
      </c>
    </row>
    <row r="23" spans="1:16" x14ac:dyDescent="0.2">
      <c r="B23" s="3"/>
      <c r="E23" s="40"/>
      <c r="F23" s="3"/>
    </row>
    <row r="24" spans="1:16" x14ac:dyDescent="0.2">
      <c r="B24" s="3"/>
      <c r="E24" s="40"/>
      <c r="F24" s="3"/>
    </row>
    <row r="25" spans="1:16" x14ac:dyDescent="0.2">
      <c r="B25" s="3"/>
      <c r="E25" s="40"/>
      <c r="F25" s="3"/>
    </row>
    <row r="26" spans="1:16" x14ac:dyDescent="0.2">
      <c r="B26" s="3"/>
      <c r="E26" s="40"/>
      <c r="F26" s="3"/>
    </row>
    <row r="27" spans="1:16" x14ac:dyDescent="0.2">
      <c r="B27" s="3"/>
      <c r="E27" s="40"/>
      <c r="F27" s="3"/>
    </row>
    <row r="28" spans="1:16" x14ac:dyDescent="0.2">
      <c r="B28" s="3"/>
      <c r="E28" s="40"/>
      <c r="F28" s="3"/>
    </row>
    <row r="29" spans="1:16" x14ac:dyDescent="0.2">
      <c r="B29" s="3"/>
      <c r="E29" s="40"/>
      <c r="F29" s="3"/>
    </row>
    <row r="30" spans="1:16" x14ac:dyDescent="0.2">
      <c r="B30" s="3"/>
      <c r="E30" s="40"/>
      <c r="F30" s="3"/>
    </row>
    <row r="31" spans="1:16" x14ac:dyDescent="0.2">
      <c r="B31" s="3"/>
      <c r="E31" s="40"/>
      <c r="F31" s="3"/>
    </row>
    <row r="32" spans="1:16" x14ac:dyDescent="0.2">
      <c r="B32" s="3"/>
      <c r="E32" s="40"/>
      <c r="F32" s="3"/>
    </row>
    <row r="33" spans="2:6" x14ac:dyDescent="0.2">
      <c r="B33" s="3"/>
      <c r="E33" s="40"/>
      <c r="F33" s="3"/>
    </row>
    <row r="34" spans="2:6" x14ac:dyDescent="0.2">
      <c r="B34" s="3"/>
      <c r="E34" s="40"/>
      <c r="F34" s="3"/>
    </row>
    <row r="35" spans="2:6" x14ac:dyDescent="0.2">
      <c r="B35" s="3"/>
      <c r="E35" s="40"/>
      <c r="F35" s="3"/>
    </row>
    <row r="36" spans="2:6" x14ac:dyDescent="0.2">
      <c r="B36" s="3"/>
      <c r="E36" s="40"/>
      <c r="F36" s="3"/>
    </row>
    <row r="37" spans="2:6" x14ac:dyDescent="0.2">
      <c r="B37" s="3"/>
      <c r="E37" s="40"/>
      <c r="F37" s="3"/>
    </row>
    <row r="38" spans="2:6" x14ac:dyDescent="0.2">
      <c r="B38" s="3"/>
      <c r="E38" s="40"/>
      <c r="F38" s="3"/>
    </row>
    <row r="39" spans="2:6" x14ac:dyDescent="0.2">
      <c r="B39" s="3"/>
      <c r="E39" s="40"/>
      <c r="F39" s="3"/>
    </row>
    <row r="40" spans="2:6" x14ac:dyDescent="0.2">
      <c r="B40" s="3"/>
      <c r="E40" s="40"/>
      <c r="F40" s="3"/>
    </row>
    <row r="41" spans="2:6" x14ac:dyDescent="0.2">
      <c r="B41" s="3"/>
      <c r="E41" s="40"/>
      <c r="F41" s="3"/>
    </row>
    <row r="42" spans="2:6" x14ac:dyDescent="0.2">
      <c r="B42" s="3"/>
      <c r="E42" s="40"/>
      <c r="F42" s="3"/>
    </row>
    <row r="43" spans="2:6" x14ac:dyDescent="0.2">
      <c r="B43" s="3"/>
      <c r="E43" s="40"/>
      <c r="F43" s="3"/>
    </row>
    <row r="44" spans="2:6" x14ac:dyDescent="0.2">
      <c r="B44" s="3"/>
      <c r="E44" s="40"/>
      <c r="F44" s="3"/>
    </row>
    <row r="45" spans="2:6" x14ac:dyDescent="0.2">
      <c r="B45" s="3"/>
      <c r="E45" s="40"/>
      <c r="F45" s="3"/>
    </row>
    <row r="46" spans="2:6" x14ac:dyDescent="0.2">
      <c r="B46" s="3"/>
      <c r="E46" s="40"/>
      <c r="F46" s="3"/>
    </row>
    <row r="47" spans="2:6" x14ac:dyDescent="0.2">
      <c r="B47" s="3"/>
      <c r="E47" s="40"/>
      <c r="F47" s="3"/>
    </row>
    <row r="48" spans="2:6" x14ac:dyDescent="0.2">
      <c r="B48" s="3"/>
      <c r="E48" s="40"/>
      <c r="F48" s="3"/>
    </row>
    <row r="49" spans="2:6" x14ac:dyDescent="0.2">
      <c r="B49" s="3"/>
      <c r="E49" s="40"/>
      <c r="F49" s="3"/>
    </row>
    <row r="50" spans="2:6" x14ac:dyDescent="0.2">
      <c r="B50" s="3"/>
      <c r="E50" s="40"/>
      <c r="F50" s="3"/>
    </row>
    <row r="51" spans="2:6" x14ac:dyDescent="0.2">
      <c r="B51" s="3"/>
      <c r="E51" s="40"/>
      <c r="F51" s="3"/>
    </row>
    <row r="52" spans="2:6" x14ac:dyDescent="0.2">
      <c r="B52" s="3"/>
      <c r="E52" s="40"/>
      <c r="F52" s="3"/>
    </row>
    <row r="53" spans="2:6" x14ac:dyDescent="0.2">
      <c r="B53" s="3"/>
      <c r="E53" s="40"/>
      <c r="F53" s="3"/>
    </row>
    <row r="54" spans="2:6" x14ac:dyDescent="0.2">
      <c r="B54" s="3"/>
      <c r="E54" s="40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</sheetData>
  <phoneticPr fontId="8" type="noConversion"/>
  <hyperlinks>
    <hyperlink ref="P13" r:id="rId1" display="http://www.konkoly.hu/cgi-bin/IBVS?6038"/>
    <hyperlink ref="P14" r:id="rId2" display="http://www.konkoly.hu/cgi-bin/IBVS?6038"/>
    <hyperlink ref="P15" r:id="rId3" display="http://www.konkoly.hu/cgi-bin/IBVS?6038"/>
    <hyperlink ref="P16" r:id="rId4" display="http://www.konkoly.hu/cgi-bin/IBVS?6038"/>
    <hyperlink ref="P17" r:id="rId5" display="http://www.konkoly.hu/cgi-bin/IBVS?6038"/>
    <hyperlink ref="P18" r:id="rId6" display="http://www.konkoly.hu/cgi-bin/IBVS?6038"/>
    <hyperlink ref="P19" r:id="rId7" display="http://www.konkoly.hu/cgi-bin/IBVS?6038"/>
    <hyperlink ref="P20" r:id="rId8" display="http://www.konkoly.hu/cgi-bin/IBVS?6038"/>
    <hyperlink ref="P21" r:id="rId9" display="http://www.konkoly.hu/cgi-bin/IBVS?6038"/>
    <hyperlink ref="P22" r:id="rId10" display="http://www.konkoly.hu/cgi-bin/IBVS?60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2024-01-26T05:21:54Z</dcterms:modified>
</cp:coreProperties>
</file>