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E919F89-6A08-41DD-B1E9-B94C1C402D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4" r:id="rId1"/>
    <sheet name="A (old)" sheetId="2" r:id="rId2"/>
    <sheet name="BAV" sheetId="5" r:id="rId3"/>
  </sheets>
  <calcPr calcId="181029"/>
</workbook>
</file>

<file path=xl/calcChain.xml><?xml version="1.0" encoding="utf-8"?>
<calcChain xmlns="http://schemas.openxmlformats.org/spreadsheetml/2006/main">
  <c r="E27" i="4" l="1"/>
  <c r="F27" i="4"/>
  <c r="G27" i="4"/>
  <c r="K27" i="4"/>
  <c r="Q27" i="4"/>
  <c r="G15" i="5"/>
  <c r="C15" i="5"/>
  <c r="G14" i="5"/>
  <c r="C14" i="5"/>
  <c r="E14" i="5"/>
  <c r="E26" i="4"/>
  <c r="G13" i="5"/>
  <c r="C13" i="5"/>
  <c r="E13" i="5"/>
  <c r="E25" i="4"/>
  <c r="G12" i="5"/>
  <c r="C12" i="5"/>
  <c r="E12" i="5"/>
  <c r="E24" i="4"/>
  <c r="G11" i="5"/>
  <c r="C11" i="5"/>
  <c r="E11" i="5"/>
  <c r="E23" i="4"/>
  <c r="H15" i="5"/>
  <c r="B15" i="5"/>
  <c r="D15" i="5"/>
  <c r="A15" i="5"/>
  <c r="H14" i="5"/>
  <c r="B14" i="5"/>
  <c r="D14" i="5"/>
  <c r="A14" i="5"/>
  <c r="H13" i="5"/>
  <c r="B13" i="5"/>
  <c r="D13" i="5"/>
  <c r="A13" i="5"/>
  <c r="H12" i="5"/>
  <c r="B12" i="5"/>
  <c r="D12" i="5"/>
  <c r="A12" i="5"/>
  <c r="H11" i="5"/>
  <c r="B11" i="5"/>
  <c r="D11" i="5"/>
  <c r="A11" i="5"/>
  <c r="F25" i="4"/>
  <c r="G25" i="4"/>
  <c r="J25" i="4"/>
  <c r="F23" i="4"/>
  <c r="G23" i="4"/>
  <c r="F24" i="4"/>
  <c r="G24" i="4"/>
  <c r="K24" i="4"/>
  <c r="F26" i="4"/>
  <c r="G26" i="4"/>
  <c r="K26" i="4"/>
  <c r="E22" i="4"/>
  <c r="F22" i="4"/>
  <c r="U22" i="4"/>
  <c r="C9" i="4"/>
  <c r="D9" i="4"/>
  <c r="E21" i="4"/>
  <c r="F21" i="4"/>
  <c r="G21" i="4"/>
  <c r="I21" i="4"/>
  <c r="Q25" i="4"/>
  <c r="F16" i="4"/>
  <c r="F17" i="4" s="1"/>
  <c r="C17" i="4"/>
  <c r="Q26" i="4"/>
  <c r="Q21" i="4"/>
  <c r="Q22" i="4"/>
  <c r="K23" i="4"/>
  <c r="Q23" i="4"/>
  <c r="Q24" i="4"/>
  <c r="C15" i="2"/>
  <c r="C18" i="2"/>
  <c r="C19" i="2"/>
  <c r="E21" i="2"/>
  <c r="F21" i="2"/>
  <c r="G21" i="2"/>
  <c r="H21" i="2"/>
  <c r="Q21" i="2"/>
  <c r="E22" i="2"/>
  <c r="F22" i="2"/>
  <c r="G22" i="2"/>
  <c r="N22" i="2"/>
  <c r="Q22" i="2"/>
  <c r="E23" i="2"/>
  <c r="F23" i="2"/>
  <c r="G23" i="2"/>
  <c r="Q23" i="2"/>
  <c r="E24" i="2"/>
  <c r="F24" i="2"/>
  <c r="G24" i="2"/>
  <c r="I24" i="2"/>
  <c r="Q24" i="2"/>
  <c r="E15" i="5"/>
  <c r="C12" i="2"/>
  <c r="C16" i="2"/>
  <c r="D18" i="2"/>
  <c r="C11" i="2"/>
  <c r="I23" i="2"/>
  <c r="O21" i="2"/>
  <c r="O23" i="2"/>
  <c r="O22" i="2"/>
  <c r="O24" i="2"/>
  <c r="C11" i="4"/>
  <c r="C12" i="4"/>
  <c r="C16" i="4" l="1"/>
  <c r="D18" i="4" s="1"/>
  <c r="O27" i="4"/>
  <c r="C15" i="4"/>
  <c r="O23" i="4"/>
  <c r="O21" i="4"/>
  <c r="O24" i="4"/>
  <c r="O22" i="4"/>
  <c r="O26" i="4"/>
  <c r="O25" i="4"/>
  <c r="C18" i="4" l="1"/>
  <c r="F18" i="4"/>
  <c r="F19" i="4" s="1"/>
</calcChain>
</file>

<file path=xl/sharedStrings.xml><?xml version="1.0" encoding="utf-8"?>
<sst xmlns="http://schemas.openxmlformats.org/spreadsheetml/2006/main" count="155" uniqueCount="93">
  <si>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</si>
  <si>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</si>
  <si>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</si>
  <si>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</si>
  <si>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</si>
  <si>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</si>
  <si>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</si>
  <si>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</si>
  <si>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</si>
  <si>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</si>
  <si>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</si>
  <si>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</si>
  <si>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</si>
  <si>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</si>
  <si>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</si>
  <si>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</si>
  <si>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</si>
  <si>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</si>
  <si>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</si>
  <si>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</si>
  <si>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</si>
  <si>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</si>
  <si>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</si>
  <si>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</si>
  <si>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</si>
  <si>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</si>
  <si>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</si>
  <si>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</si>
  <si>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</si>
  <si>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</si>
  <si>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</si>
  <si>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DM CVn / GSC 2004-1075</t>
  </si>
  <si>
    <t>ROTSE1 J133619.29+292341.1</t>
  </si>
  <si>
    <t>not avail.</t>
  </si>
  <si>
    <t>Krajci</t>
  </si>
  <si>
    <t>ROTSE??</t>
  </si>
  <si>
    <t>RHO/Baldwin</t>
  </si>
  <si>
    <t>E</t>
  </si>
  <si>
    <t>IBVS 5592</t>
  </si>
  <si>
    <t>IBVS 5690</t>
  </si>
  <si>
    <t>I</t>
  </si>
  <si>
    <t>IBVS 5060</t>
  </si>
  <si>
    <t>IBVS 6033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</si>
  <si>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</si>
  <si>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</si>
  <si>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</si>
  <si>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# of data points:</t>
  </si>
  <si>
    <t>Add cycle</t>
  </si>
  <si>
    <t>JD today</t>
  </si>
  <si>
    <t>Old Cycle</t>
  </si>
  <si>
    <t>New Cycle</t>
  </si>
  <si>
    <t>Next ToM</t>
  </si>
  <si>
    <t>EA</t>
  </si>
  <si>
    <t>IBVS 6048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</si>
  <si>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</si>
  <si>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</si>
  <si>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</si>
  <si>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</si>
  <si>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</si>
  <si>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</si>
  <si>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</si>
  <si>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</si>
  <si>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</si>
  <si>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</si>
  <si>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2453166.2016 </t>
  </si>
  <si>
    <t> 09.06.2004 16:50 </t>
  </si>
  <si>
    <t> 0.0011 </t>
  </si>
  <si>
    <t>E </t>
  </si>
  <si>
    <t>?</t>
  </si>
  <si>
    <t> T. Krajci </t>
  </si>
  <si>
    <t>IBVS 5592 </t>
  </si>
  <si>
    <t>2453406.0036 </t>
  </si>
  <si>
    <t> 04.02.2005 12:05 </t>
  </si>
  <si>
    <t> 0.0009 </t>
  </si>
  <si>
    <t>IBVS 5690 </t>
  </si>
  <si>
    <t>2456011.3484 </t>
  </si>
  <si>
    <t> 24.03.2012 20:21 </t>
  </si>
  <si>
    <t> -0.0057 </t>
  </si>
  <si>
    <t>C </t>
  </si>
  <si>
    <t>o</t>
  </si>
  <si>
    <t> W.Moschner &amp; P.Frank </t>
  </si>
  <si>
    <t>BAVM 228 </t>
  </si>
  <si>
    <t>2456046.3212 </t>
  </si>
  <si>
    <t> 28.04.2012 19:42 </t>
  </si>
  <si>
    <t> -0.0041 </t>
  </si>
  <si>
    <t> N.Ruocco </t>
  </si>
  <si>
    <t>IBVS 6033 </t>
  </si>
  <si>
    <t>2457125.4302 </t>
  </si>
  <si>
    <t> 12.04.2015 22:19 </t>
  </si>
  <si>
    <t> -0.0052 </t>
  </si>
  <si>
    <t>BAVM 241 (=IBVS 6157) </t>
  </si>
  <si>
    <t>IBVS 6157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</si>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</sst>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6" fillId="0" borderId="0" xfId="0" applyFont="1">
      <alignment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6" fontId="0" fillId="0" borderId="0" xfId="0" applyNumberFormat="1" applyAlignment="1"/>
    <xf numFmtId="0" fontId="10" fillId="0" borderId="0" xfId="0" applyFont="1" applyAlignment="1"/>
    <xf numFmtId="0" fontId="5" fillId="0" borderId="1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2" fillId="0" borderId="0" xfId="0" applyFont="1" applyAlignme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76" fontId="13" fillId="0" borderId="0" xfId="0" applyNumberFormat="1" applyFont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18" fillId="0" borderId="0" xfId="0" applyFont="1">
      <alignment vertical="top"/>
    </xf>
    <xf numFmtId="0" fontId="10" fillId="0" borderId="0" xfId="0" applyFont="1">
      <alignment vertical="top"/>
    </xf>
    <xf numFmtId="0" fontId="13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4" xfId="0" applyBorder="1">
      <alignment vertical="top"/>
    </xf>
    <xf numFmtId="0" fontId="5" fillId="2" borderId="0" xfId="0" applyFont="1" applyFill="1">
      <alignment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1" fillId="0" borderId="5" xfId="0" applyFont="1" applyFill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 CVn - O-C Diagr.</a:t>
            </a:r>
          </a:p>
        </c:rich>
      </c:tx>
      <c:layout>
        <c:manualLayout>
          <c:xMode val="edge"/>
          <c:yMode val="edge"/>
          <c:x val="0.3614040613344384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40378529979663"/>
          <c:y val="0.14723926380368099"/>
          <c:w val="0.7894750367924835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  <c:pt idx="4">
                  <c:v>3762</c:v>
                </c:pt>
                <c:pt idx="5">
                  <c:v>3790</c:v>
                </c:pt>
                <c:pt idx="6">
                  <c:v>4654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C5-4BF5-989E-80147FB4E4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  <c:pt idx="4">
                  <c:v>3762</c:v>
                </c:pt>
                <c:pt idx="5">
                  <c:v>3790</c:v>
                </c:pt>
                <c:pt idx="6">
                  <c:v>4654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C5-4BF5-989E-80147FB4E4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  <c:pt idx="4">
                  <c:v>3762</c:v>
                </c:pt>
                <c:pt idx="5">
                  <c:v>3790</c:v>
                </c:pt>
                <c:pt idx="6">
                  <c:v>4654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">
                  <c:v>-1.0374999255873263E-3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C5-4BF5-989E-80147FB4E4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  <c:pt idx="4">
                  <c:v>3762</c:v>
                </c:pt>
                <c:pt idx="5">
                  <c:v>3790</c:v>
                </c:pt>
                <c:pt idx="6">
                  <c:v>4654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">
                  <c:v>2.9750000321655534E-3</c:v>
                </c:pt>
                <c:pt idx="3">
                  <c:v>2.9750000321655534E-3</c:v>
                </c:pt>
                <c:pt idx="5">
                  <c:v>6.3750007393537089E-4</c:v>
                </c:pt>
                <c:pt idx="6">
                  <c:v>6.3750009576324373E-4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C5-4BF5-989E-80147FB4E4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  <c:pt idx="4">
                  <c:v>3762</c:v>
                </c:pt>
                <c:pt idx="5">
                  <c:v>3790</c:v>
                </c:pt>
                <c:pt idx="6">
                  <c:v>4654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C5-4BF5-989E-80147FB4E4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  <c:pt idx="4">
                  <c:v>3762</c:v>
                </c:pt>
                <c:pt idx="5">
                  <c:v>3790</c:v>
                </c:pt>
                <c:pt idx="6">
                  <c:v>4654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C5-4BF5-989E-80147FB4E4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  <c:pt idx="4">
                  <c:v>3762</c:v>
                </c:pt>
                <c:pt idx="5">
                  <c:v>3790</c:v>
                </c:pt>
                <c:pt idx="6">
                  <c:v>4654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C5-4BF5-989E-80147FB4E4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8.0000000000000004E-4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  <c:pt idx="4">
                  <c:v>3762</c:v>
                </c:pt>
                <c:pt idx="5">
                  <c:v>3790</c:v>
                </c:pt>
                <c:pt idx="6">
                  <c:v>4654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1.8342569663864377E-3</c:v>
                </c:pt>
                <c:pt idx="1">
                  <c:v>1.5708732066899629E-3</c:v>
                </c:pt>
                <c:pt idx="2">
                  <c:v>1.368945657589332E-3</c:v>
                </c:pt>
                <c:pt idx="3">
                  <c:v>1.3087436553729948E-3</c:v>
                </c:pt>
                <c:pt idx="4">
                  <c:v>6.5467398546008196E-4</c:v>
                </c:pt>
                <c:pt idx="5">
                  <c:v>6.4589452680353281E-4</c:v>
                </c:pt>
                <c:pt idx="6">
                  <c:v>3.7498551683001584E-4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C5-4BF5-989E-80147FB4E41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  <c:pt idx="4">
                  <c:v>3762</c:v>
                </c:pt>
                <c:pt idx="5">
                  <c:v>3790</c:v>
                </c:pt>
                <c:pt idx="6">
                  <c:v>4654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">
                  <c:v>2.68500000165659E-2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C5-4BF5-989E-80147FB4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31072"/>
        <c:axId val="1"/>
      </c:scatterChart>
      <c:valAx>
        <c:axId val="528731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334254270847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731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21054473453976"/>
          <c:y val="0.92024539877300615"/>
          <c:w val="0.8438611226228300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 CVn - O-C Diagr.</a:t>
            </a:r>
          </a:p>
        </c:rich>
      </c:tx>
      <c:layout>
        <c:manualLayout>
          <c:xMode val="edge"/>
          <c:yMode val="edge"/>
          <c:x val="0.33677729333420098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953316519776211"/>
          <c:w val="0.78099252343802805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91-4E4C-A3AD-5DDE1A1534A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2">
                  <c:v>-0.50344000000040978</c:v>
                </c:pt>
                <c:pt idx="3">
                  <c:v>-0.5689600000041537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91-4E4C-A3AD-5DDE1A1534A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91-4E4C-A3AD-5DDE1A1534A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91-4E4C-A3AD-5DDE1A1534A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91-4E4C-A3AD-5DDE1A1534A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91-4E4C-A3AD-5DDE1A1534A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  <c:pt idx="1">
                  <c:v>-0.25979999999981374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91-4E4C-A3AD-5DDE1A1534A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 (old)'!$D$21:$D$41</c:f>
                <c:numCache>
                  <c:formatCode>General</c:formatCode>
                  <c:ptCount val="21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 (old)'!$D$21:$D$41</c:f>
                <c:numCache>
                  <c:formatCode>General</c:formatCode>
                  <c:ptCount val="21"/>
                  <c:pt idx="0">
                    <c:v>2E-3</c:v>
                  </c:pt>
                  <c:pt idx="2">
                    <c:v>2.0000000000000001E-4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840</c:v>
                </c:pt>
                <c:pt idx="2">
                  <c:v>1484</c:v>
                </c:pt>
                <c:pt idx="3">
                  <c:v>1676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2.9750000285275746E-3</c:v>
                </c:pt>
                <c:pt idx="1">
                  <c:v>-0.28367499998785206</c:v>
                </c:pt>
                <c:pt idx="2">
                  <c:v>-0.50344000000040978</c:v>
                </c:pt>
                <c:pt idx="3">
                  <c:v>-0.5689600000041537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91-4E4C-A3AD-5DDE1A15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487984"/>
        <c:axId val="1"/>
      </c:scatterChart>
      <c:valAx>
        <c:axId val="579487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487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5.9917355371900828E-2"/>
          <c:y val="0.91900605882208652"/>
          <c:w val="0.99173640485022008"/>
          <c:h val="0.981311681834163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381000</xdr:colOff>
      <xdr:row>18</xdr:row>
      <xdr:rowOff>114300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D0D20776-034D-D569-F970-EEBA2A6D8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38100</xdr:rowOff>
    </xdr:from>
    <xdr:to>
      <xdr:col>13</xdr:col>
      <xdr:colOff>66675</xdr:colOff>
      <xdr:row>18</xdr:row>
      <xdr:rowOff>57150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07407ECA-6838-6946-85F2-051CB45E0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konkoly.hu/cgi-bin/IBVS?5690" TargetMode="External"/><Relationship Id="rId1" Type="http://schemas.openxmlformats.org/officeDocument/2006/relationships/hyperlink" Target="http://www.konkoly.hu/cgi-bin/IBVS?5592" TargetMode="External"/><Relationship Id="rId5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6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45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>
      <c r="A1" s="1" t="s">
        <v>31</v>
      </c>
    </row>
    <row r="2" spans="1:6">
      <c r="A2" t="s">
        <v>27</v>
      </c>
      <c r="B2" s="17" t="s">
        <v>52</v>
      </c>
      <c r="C2" s="12" t="s">
        <v>32</v>
      </c>
    </row>
    <row r="3" spans="1:6" ht="13.5" thickBot="1"/>
    <row r="4" spans="1:6" ht="14.25" thickTop="1" thickBot="1">
      <c r="A4" s="8" t="s">
        <v>0</v>
      </c>
      <c r="C4" s="13" t="s">
        <v>33</v>
      </c>
      <c r="D4" s="14" t="s">
        <v>33</v>
      </c>
    </row>
    <row r="5" spans="1:6" ht="13.5" thickTop="1">
      <c r="A5" s="27" t="s">
        <v>43</v>
      </c>
      <c r="B5" s="28"/>
      <c r="C5" s="29">
        <v>-9.5</v>
      </c>
      <c r="D5" s="28" t="s">
        <v>44</v>
      </c>
    </row>
    <row r="6" spans="1:6">
      <c r="A6" s="8" t="s">
        <v>1</v>
      </c>
    </row>
    <row r="7" spans="1:6">
      <c r="A7" t="s">
        <v>2</v>
      </c>
      <c r="C7">
        <v>51312.728999999999</v>
      </c>
    </row>
    <row r="8" spans="1:6">
      <c r="A8" t="s">
        <v>3</v>
      </c>
      <c r="C8">
        <v>1.2489687499999804</v>
      </c>
    </row>
    <row r="9" spans="1:6">
      <c r="A9" s="31" t="s">
        <v>45</v>
      </c>
      <c r="B9" s="32">
        <v>21</v>
      </c>
      <c r="C9" s="30" t="str">
        <f>"F"&amp;B9</f>
        <v>F21</v>
      </c>
      <c r="D9" s="16" t="str">
        <f>"G"&amp;B9</f>
        <v>G21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34">
        <f ca="1">INTERCEPT(INDIRECT($D$9):G992,INDIRECT($C$9):F992)</f>
        <v>1.8342569663864377E-3</v>
      </c>
      <c r="D11" s="6"/>
    </row>
    <row r="12" spans="1:6">
      <c r="A12" t="s">
        <v>17</v>
      </c>
      <c r="C12" s="34">
        <f ca="1">SLOPE(INDIRECT($D$9):G992,INDIRECT($C$9):F992)</f>
        <v>-3.1355209487675589E-7</v>
      </c>
      <c r="D12" s="6"/>
    </row>
    <row r="13" spans="1:6">
      <c r="A13" t="s">
        <v>21</v>
      </c>
      <c r="C13" s="6"/>
    </row>
    <row r="14" spans="1:6">
      <c r="A14" t="s">
        <v>26</v>
      </c>
    </row>
    <row r="15" spans="1:6">
      <c r="A15" s="3" t="s">
        <v>18</v>
      </c>
      <c r="C15" s="23">
        <f ca="1">(C7+C11)+(C8+C12)*INT(MAX(F21:F3532))</f>
        <v>57125.429937485424</v>
      </c>
      <c r="E15" s="33" t="s">
        <v>47</v>
      </c>
      <c r="F15" s="29">
        <v>1</v>
      </c>
    </row>
    <row r="16" spans="1:6">
      <c r="A16" s="8" t="s">
        <v>4</v>
      </c>
      <c r="C16" s="24">
        <f ca="1">+C8+C12</f>
        <v>1.2489684364478855</v>
      </c>
      <c r="E16" s="33" t="s">
        <v>48</v>
      </c>
      <c r="F16" s="35">
        <f ca="1">NOW()+15018.5+$C$5/24</f>
        <v>60339.731224189811</v>
      </c>
    </row>
    <row r="17" spans="1:21" ht="13.5" thickBot="1">
      <c r="A17" s="33" t="s">
        <v>46</v>
      </c>
      <c r="B17" s="28"/>
      <c r="C17" s="28">
        <f>COUNT(C21:C2191)</f>
        <v>7</v>
      </c>
      <c r="E17" s="33" t="s">
        <v>49</v>
      </c>
      <c r="F17" s="35">
        <f ca="1">ROUND(2*(F16-$C$7)/$C$8,0)/2+F15</f>
        <v>7228.5</v>
      </c>
    </row>
    <row r="18" spans="1:21" ht="14.25" thickTop="1" thickBot="1">
      <c r="A18" s="8" t="s">
        <v>5</v>
      </c>
      <c r="C18" s="4">
        <f ca="1">+C15</f>
        <v>57125.429937485424</v>
      </c>
      <c r="D18" s="37">
        <f ca="1">+C16</f>
        <v>1.2489684364478855</v>
      </c>
      <c r="E18" s="33" t="s">
        <v>50</v>
      </c>
      <c r="F18" s="16">
        <f ca="1">ROUND(2*(F16-$C$15)/$C$16,0)/2+F15</f>
        <v>2574.5</v>
      </c>
    </row>
    <row r="19" spans="1:21" ht="13.5" thickTop="1">
      <c r="E19" s="33" t="s">
        <v>51</v>
      </c>
      <c r="F19" s="36">
        <f ca="1">+$C$15+$C$16*F18-15018.5-$C$5/24</f>
        <v>45322.795010453839</v>
      </c>
    </row>
    <row r="20" spans="1:2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60</v>
      </c>
      <c r="I20" s="10" t="s">
        <v>63</v>
      </c>
      <c r="J20" s="10" t="s">
        <v>57</v>
      </c>
      <c r="K20" s="10" t="s">
        <v>56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R20" s="62"/>
      <c r="S20" s="62"/>
      <c r="T20" s="62"/>
      <c r="U20" s="63" t="s">
        <v>92</v>
      </c>
    </row>
    <row r="21" spans="1:21">
      <c r="A21" s="38" t="s">
        <v>41</v>
      </c>
      <c r="C21" s="25">
        <v>51312.728999999999</v>
      </c>
      <c r="D21" s="25">
        <v>2E-3</v>
      </c>
      <c r="E21">
        <f t="shared" ref="E21:E26" si="0">+(C21-C$7)/C$8</f>
        <v>0</v>
      </c>
      <c r="F21">
        <f t="shared" ref="F21:F26" si="1">ROUND(2*E21,0)/2</f>
        <v>0</v>
      </c>
      <c r="G21">
        <f>+C21-(C$7+F21*C$8)</f>
        <v>0</v>
      </c>
      <c r="I21">
        <f>+G21</f>
        <v>0</v>
      </c>
      <c r="O21">
        <f t="shared" ref="O21:O26" ca="1" si="2">+C$11+C$12*$F21</f>
        <v>1.8342569663864377E-3</v>
      </c>
      <c r="Q21" s="2">
        <f t="shared" ref="Q21:Q26" si="3">+C21-15018.5</f>
        <v>36294.228999999999</v>
      </c>
      <c r="R21" s="2" t="s">
        <v>63</v>
      </c>
      <c r="S21" s="2"/>
      <c r="T21" s="2"/>
    </row>
    <row r="22" spans="1:21">
      <c r="A22" t="s">
        <v>36</v>
      </c>
      <c r="C22" s="26">
        <v>52361.889600000002</v>
      </c>
      <c r="D22" s="25"/>
      <c r="E22">
        <f t="shared" si="0"/>
        <v>840.02149773564736</v>
      </c>
      <c r="F22">
        <f t="shared" si="1"/>
        <v>840</v>
      </c>
      <c r="N22" s="16"/>
      <c r="O22">
        <f t="shared" ca="1" si="2"/>
        <v>1.5708732066899629E-3</v>
      </c>
      <c r="Q22" s="2">
        <f t="shared" si="3"/>
        <v>37343.389600000002</v>
      </c>
      <c r="R22" s="2" t="e">
        <v>#N/A</v>
      </c>
      <c r="S22" s="2"/>
      <c r="T22" s="2"/>
      <c r="U22">
        <f>+C22-(C$7+F22*C$8)</f>
        <v>2.68500000165659E-2</v>
      </c>
    </row>
    <row r="23" spans="1:21">
      <c r="A23" s="18" t="s">
        <v>38</v>
      </c>
      <c r="C23" s="25">
        <v>53166.2016</v>
      </c>
      <c r="D23" s="25">
        <v>2.0000000000000001E-4</v>
      </c>
      <c r="E23">
        <f t="shared" si="0"/>
        <v>1484.0023819651453</v>
      </c>
      <c r="F23">
        <f t="shared" si="1"/>
        <v>1484</v>
      </c>
      <c r="G23">
        <f>+C23-(C$7+F23*C$8)</f>
        <v>2.9750000321655534E-3</v>
      </c>
      <c r="K23">
        <f>+G23</f>
        <v>2.9750000321655534E-3</v>
      </c>
      <c r="O23">
        <f t="shared" ca="1" si="2"/>
        <v>1.368945657589332E-3</v>
      </c>
      <c r="Q23" s="2">
        <f t="shared" si="3"/>
        <v>38147.7016</v>
      </c>
      <c r="R23" s="2" t="s">
        <v>56</v>
      </c>
      <c r="S23" s="2"/>
      <c r="T23" s="2"/>
    </row>
    <row r="24" spans="1:21">
      <c r="A24" s="39" t="s">
        <v>39</v>
      </c>
      <c r="B24" s="40" t="s">
        <v>40</v>
      </c>
      <c r="C24" s="41">
        <v>53406.003599999996</v>
      </c>
      <c r="D24" s="41">
        <v>5.9999999999999995E-4</v>
      </c>
      <c r="E24">
        <f t="shared" si="0"/>
        <v>1676.0023819651451</v>
      </c>
      <c r="F24">
        <f t="shared" si="1"/>
        <v>1676</v>
      </c>
      <c r="G24">
        <f>+C24-(C$7+F24*C$8)</f>
        <v>2.9750000321655534E-3</v>
      </c>
      <c r="K24">
        <f>+G24</f>
        <v>2.9750000321655534E-3</v>
      </c>
      <c r="O24">
        <f t="shared" ca="1" si="2"/>
        <v>1.3087436553729948E-3</v>
      </c>
      <c r="Q24" s="2">
        <f t="shared" si="3"/>
        <v>38387.503599999996</v>
      </c>
      <c r="R24" s="2" t="s">
        <v>56</v>
      </c>
      <c r="S24" s="2"/>
      <c r="T24" s="2"/>
    </row>
    <row r="25" spans="1:21">
      <c r="A25" s="43" t="s">
        <v>53</v>
      </c>
      <c r="B25" s="44" t="s">
        <v>40</v>
      </c>
      <c r="C25" s="45">
        <v>56011.348400000003</v>
      </c>
      <c r="D25" s="45">
        <v>2.0000000000000001E-4</v>
      </c>
      <c r="E25">
        <f t="shared" si="0"/>
        <v>3761.9991693147463</v>
      </c>
      <c r="F25">
        <f t="shared" si="1"/>
        <v>3762</v>
      </c>
      <c r="G25">
        <f>+C25-(C$7+F25*C$8)</f>
        <v>-1.0374999255873263E-3</v>
      </c>
      <c r="J25">
        <f>+G25</f>
        <v>-1.0374999255873263E-3</v>
      </c>
      <c r="O25">
        <f t="shared" ca="1" si="2"/>
        <v>6.5467398546008196E-4</v>
      </c>
      <c r="Q25" s="2">
        <f t="shared" si="3"/>
        <v>40992.848400000003</v>
      </c>
      <c r="R25" s="2" t="s">
        <v>57</v>
      </c>
      <c r="S25" s="2"/>
      <c r="T25" s="2"/>
    </row>
    <row r="26" spans="1:21">
      <c r="A26" s="42" t="s">
        <v>42</v>
      </c>
      <c r="B26" s="40" t="s">
        <v>40</v>
      </c>
      <c r="C26" s="41">
        <v>56046.321199999998</v>
      </c>
      <c r="D26" s="41">
        <v>8.0000000000000004E-4</v>
      </c>
      <c r="E26">
        <f t="shared" si="0"/>
        <v>3790.0005104211559</v>
      </c>
      <c r="F26">
        <f t="shared" si="1"/>
        <v>3790</v>
      </c>
      <c r="G26">
        <f>+C26-(C$7+F26*C$8)</f>
        <v>6.3750007393537089E-4</v>
      </c>
      <c r="K26">
        <f>+G26</f>
        <v>6.3750007393537089E-4</v>
      </c>
      <c r="O26">
        <f t="shared" ca="1" si="2"/>
        <v>6.4589452680353281E-4</v>
      </c>
      <c r="Q26" s="2">
        <f t="shared" si="3"/>
        <v>41027.821199999998</v>
      </c>
      <c r="R26" s="2" t="s">
        <v>56</v>
      </c>
      <c r="S26" s="2"/>
      <c r="T26" s="2"/>
    </row>
    <row r="27" spans="1:21">
      <c r="A27" s="60" t="s">
        <v>91</v>
      </c>
      <c r="B27" s="61"/>
      <c r="C27" s="60">
        <v>57125.430200000003</v>
      </c>
      <c r="D27" s="60">
        <v>2.9999999999999997E-4</v>
      </c>
      <c r="E27">
        <f>+(C27-C$7)/C$8</f>
        <v>4654.0005104211732</v>
      </c>
      <c r="F27">
        <f>ROUND(2*E27,0)/2</f>
        <v>4654</v>
      </c>
      <c r="G27">
        <f>+C27-(C$7+F27*C$8)</f>
        <v>6.3750009576324373E-4</v>
      </c>
      <c r="K27">
        <f>+G27</f>
        <v>6.3750009576324373E-4</v>
      </c>
      <c r="O27">
        <f ca="1">+C$11+C$12*$F27</f>
        <v>3.7498551683001584E-4</v>
      </c>
      <c r="Q27" s="2">
        <f>+C27-15018.5</f>
        <v>42106.930200000003</v>
      </c>
      <c r="R27" s="2"/>
    </row>
    <row r="28" spans="1:21">
      <c r="C28" s="25"/>
      <c r="D28" s="25"/>
    </row>
    <row r="29" spans="1:21">
      <c r="D29" s="6"/>
    </row>
    <row r="30" spans="1:21">
      <c r="D30" s="6"/>
    </row>
    <row r="31" spans="1:21">
      <c r="D31" s="6"/>
    </row>
    <row r="32" spans="1:21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>
      <selection activeCell="E34" sqref="E3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</row>
    <row r="2" spans="1:4">
      <c r="A2" t="s">
        <v>27</v>
      </c>
      <c r="B2" s="17" t="s">
        <v>37</v>
      </c>
      <c r="C2" s="12" t="s">
        <v>32</v>
      </c>
    </row>
    <row r="3" spans="1:4" ht="13.5" thickBot="1"/>
    <row r="4" spans="1:4">
      <c r="A4" s="8" t="s">
        <v>0</v>
      </c>
      <c r="C4" s="13" t="s">
        <v>33</v>
      </c>
      <c r="D4" s="14" t="s">
        <v>33</v>
      </c>
    </row>
    <row r="6" spans="1:4">
      <c r="A6" s="8" t="s">
        <v>1</v>
      </c>
    </row>
    <row r="7" spans="1:4">
      <c r="A7" t="s">
        <v>2</v>
      </c>
      <c r="C7">
        <v>51312.728999999999</v>
      </c>
    </row>
    <row r="8" spans="1:4">
      <c r="A8" t="s">
        <v>3</v>
      </c>
      <c r="C8">
        <v>1.2493099999999999</v>
      </c>
    </row>
    <row r="10" spans="1:4" ht="13.5" thickBot="1">
      <c r="C10" s="7" t="s">
        <v>22</v>
      </c>
      <c r="D10" s="7" t="s">
        <v>23</v>
      </c>
    </row>
    <row r="11" spans="1:4">
      <c r="A11" t="s">
        <v>16</v>
      </c>
      <c r="C11">
        <f>INTERCEPT(G23:G993,$F23:$F993)</f>
        <v>2.9750000285275746E-3</v>
      </c>
      <c r="D11" s="6"/>
    </row>
    <row r="12" spans="1:4">
      <c r="A12" t="s">
        <v>17</v>
      </c>
      <c r="C12">
        <f>SLOPE(G23:G993,$F23:$F993)</f>
        <v>-3.4125000001949957E-4</v>
      </c>
      <c r="D12" s="6"/>
    </row>
    <row r="13" spans="1:4">
      <c r="A13" t="s">
        <v>21</v>
      </c>
      <c r="C13" s="6" t="s">
        <v>14</v>
      </c>
      <c r="D13" s="6"/>
    </row>
    <row r="14" spans="1:4">
      <c r="A14" t="s">
        <v>26</v>
      </c>
    </row>
    <row r="15" spans="1:4">
      <c r="A15" s="3" t="s">
        <v>18</v>
      </c>
      <c r="C15">
        <f>+D15+C8/2</f>
        <v>53166.826255</v>
      </c>
      <c r="D15" s="11">
        <v>53166.2016</v>
      </c>
    </row>
    <row r="16" spans="1:4">
      <c r="A16" s="8" t="s">
        <v>4</v>
      </c>
      <c r="C16">
        <f>+$C8+C12</f>
        <v>1.2489687499999804</v>
      </c>
    </row>
    <row r="17" spans="1:17" ht="13.5" thickBot="1"/>
    <row r="18" spans="1:17">
      <c r="A18" s="8" t="s">
        <v>5</v>
      </c>
      <c r="C18" s="4">
        <f>+C15</f>
        <v>53166.826255</v>
      </c>
      <c r="D18" s="5">
        <f>+C16</f>
        <v>1.2489687499999804</v>
      </c>
    </row>
    <row r="19" spans="1:17" ht="13.5" thickTop="1">
      <c r="C19">
        <f>COUNT(C21:C2106)</f>
        <v>4</v>
      </c>
      <c r="F19">
        <v>0.5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34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17">
      <c r="A21" t="s">
        <v>35</v>
      </c>
      <c r="C21">
        <v>51312.728999999999</v>
      </c>
      <c r="D21">
        <v>2E-3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2.9750000285275746E-3</v>
      </c>
      <c r="Q21" s="2">
        <f>+C21-15018.5</f>
        <v>36294.228999999999</v>
      </c>
    </row>
    <row r="22" spans="1:17">
      <c r="A22" t="s">
        <v>36</v>
      </c>
      <c r="C22" s="15">
        <v>52361.889600000002</v>
      </c>
      <c r="E22">
        <f>+(C22-C$7)/C$8</f>
        <v>839.79204520895769</v>
      </c>
      <c r="F22">
        <f>ROUND(2*E22,0)/2</f>
        <v>840</v>
      </c>
      <c r="G22">
        <f>+C22-(C$7+F22*C$8)</f>
        <v>-0.25979999999981374</v>
      </c>
      <c r="N22">
        <f>G22</f>
        <v>-0.25979999999981374</v>
      </c>
      <c r="O22">
        <f>+C$11+C$12*$F22</f>
        <v>-0.28367499998785206</v>
      </c>
      <c r="Q22" s="2">
        <f>+C22-15018.5</f>
        <v>37343.389600000002</v>
      </c>
    </row>
    <row r="23" spans="1:17">
      <c r="A23" s="18" t="s">
        <v>38</v>
      </c>
      <c r="C23" s="11">
        <v>53166.2016</v>
      </c>
      <c r="D23" s="11">
        <v>2.0000000000000001E-4</v>
      </c>
      <c r="E23">
        <f>+(C23-C$7)/C$8</f>
        <v>1483.597025558109</v>
      </c>
      <c r="F23" s="22">
        <f>ROUND(2*E23,0)/2+0.5</f>
        <v>1484</v>
      </c>
      <c r="G23">
        <f>+C23-(C$7+F23*C$8)</f>
        <v>-0.50344000000040978</v>
      </c>
      <c r="I23">
        <f>+G23</f>
        <v>-0.50344000000040978</v>
      </c>
      <c r="O23">
        <f>+C$11+C$12*$F23</f>
        <v>-0.50344000000040978</v>
      </c>
      <c r="Q23" s="2">
        <f>+C23-15018.5</f>
        <v>38147.7016</v>
      </c>
    </row>
    <row r="24" spans="1:17">
      <c r="A24" s="19" t="s">
        <v>39</v>
      </c>
      <c r="B24" s="20" t="s">
        <v>40</v>
      </c>
      <c r="C24" s="21">
        <v>53406.003599999996</v>
      </c>
      <c r="D24" s="21">
        <v>5.9999999999999995E-4</v>
      </c>
      <c r="E24">
        <f>+(C24-C$7)/C$8</f>
        <v>1675.5445806084936</v>
      </c>
      <c r="F24" s="22">
        <f>ROUND(2*E24,0)/2+0.5</f>
        <v>1676</v>
      </c>
      <c r="G24">
        <f>+C24-(C$7+F24*C$8)</f>
        <v>-0.5689600000041537</v>
      </c>
      <c r="I24">
        <f>+G24</f>
        <v>-0.5689600000041537</v>
      </c>
      <c r="O24">
        <f>+C$11+C$12*$F24</f>
        <v>-0.5689600000041537</v>
      </c>
      <c r="Q24" s="2">
        <f>+C24-15018.5</f>
        <v>38387.503599999996</v>
      </c>
    </row>
    <row r="25" spans="1:17">
      <c r="D25" s="6"/>
      <c r="Q25" s="2"/>
    </row>
    <row r="26" spans="1:17">
      <c r="D26" s="6"/>
      <c r="Q26" s="2"/>
    </row>
    <row r="27" spans="1:17">
      <c r="D27" s="6"/>
      <c r="Q27" s="2"/>
    </row>
    <row r="28" spans="1:17">
      <c r="D28" s="6"/>
    </row>
    <row r="29" spans="1:17">
      <c r="D29" s="6"/>
    </row>
    <row r="30" spans="1:17">
      <c r="D30" s="6"/>
    </row>
    <row r="31" spans="1:17">
      <c r="D31" s="6"/>
    </row>
    <row r="32" spans="1:17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0"/>
  <sheetViews>
    <sheetView workbookViewId="0">
      <selection activeCell="A15" sqref="A15:D15"/>
    </sheetView>
  </sheetViews>
  <sheetFormatPr defaultRowHeight="12.75"/>
  <cols>
    <col min="1" max="1" width="19.7109375" style="47" customWidth="1"/>
    <col min="2" max="2" width="4.42578125" style="28" customWidth="1"/>
    <col min="3" max="3" width="12.7109375" style="47" customWidth="1"/>
    <col min="4" max="4" width="5.42578125" style="28" customWidth="1"/>
    <col min="5" max="5" width="14.85546875" style="28" customWidth="1"/>
    <col min="6" max="6" width="9.140625" style="28"/>
    <col min="7" max="7" width="12" style="28" customWidth="1"/>
    <col min="8" max="8" width="14.140625" style="47" customWidth="1"/>
    <col min="9" max="9" width="22.5703125" style="28" customWidth="1"/>
    <col min="10" max="10" width="25.140625" style="28" customWidth="1"/>
    <col min="11" max="11" width="15.7109375" style="28" customWidth="1"/>
    <col min="12" max="12" width="14.140625" style="28" customWidth="1"/>
    <col min="13" max="13" width="9.5703125" style="28" customWidth="1"/>
    <col min="14" max="14" width="14.140625" style="28" customWidth="1"/>
    <col min="15" max="15" width="23.42578125" style="28" customWidth="1"/>
    <col min="16" max="16" width="16.5703125" style="28" customWidth="1"/>
    <col min="17" max="17" width="41" style="28" customWidth="1"/>
    <col min="18" max="16384" width="9.140625" style="28"/>
  </cols>
  <sheetData>
    <row r="1" spans="1:16" ht="15.75">
      <c r="A1" s="46" t="s">
        <v>54</v>
      </c>
      <c r="I1" s="48" t="s">
        <v>55</v>
      </c>
      <c r="J1" s="49" t="s">
        <v>56</v>
      </c>
    </row>
    <row r="2" spans="1:16">
      <c r="I2" s="50" t="s">
        <v>37</v>
      </c>
      <c r="J2" s="51" t="s">
        <v>57</v>
      </c>
    </row>
    <row r="3" spans="1:16">
      <c r="A3" s="52" t="s">
        <v>58</v>
      </c>
      <c r="I3" s="50" t="s">
        <v>59</v>
      </c>
      <c r="J3" s="51" t="s">
        <v>60</v>
      </c>
    </row>
    <row r="4" spans="1:16">
      <c r="I4" s="50" t="s">
        <v>61</v>
      </c>
      <c r="J4" s="51" t="s">
        <v>60</v>
      </c>
    </row>
    <row r="5" spans="1:16" ht="13.5" thickBot="1">
      <c r="I5" s="53" t="s">
        <v>62</v>
      </c>
      <c r="J5" s="54" t="s">
        <v>63</v>
      </c>
    </row>
    <row r="10" spans="1:16" ht="13.5" thickBot="1"/>
    <row r="11" spans="1:16" ht="12.75" customHeight="1" thickBot="1">
      <c r="A11" s="47" t="str">
        <f>P11</f>
        <v>IBVS 5592 </v>
      </c>
      <c r="B11" s="6" t="str">
        <f>IF(H11=INT(H11),"I","II")</f>
        <v>I</v>
      </c>
      <c r="C11" s="47">
        <f>1*G11</f>
        <v>53166.2016</v>
      </c>
      <c r="D11" s="28" t="str">
        <f>VLOOKUP(F11,I$1:J$5,2,FALSE)</f>
        <v>vis</v>
      </c>
      <c r="E11" s="55">
        <f>VLOOKUP(C11,Active!C$21:E$973,3,FALSE)</f>
        <v>1484.0023819651453</v>
      </c>
      <c r="F11" s="6" t="s">
        <v>62</v>
      </c>
      <c r="G11" s="28" t="str">
        <f>MID(I11,3,LEN(I11)-3)</f>
        <v>53166.2016</v>
      </c>
      <c r="H11" s="47">
        <f>1*K11</f>
        <v>1484</v>
      </c>
      <c r="I11" s="56" t="s">
        <v>64</v>
      </c>
      <c r="J11" s="57" t="s">
        <v>65</v>
      </c>
      <c r="K11" s="56">
        <v>1484</v>
      </c>
      <c r="L11" s="56" t="s">
        <v>66</v>
      </c>
      <c r="M11" s="57" t="s">
        <v>67</v>
      </c>
      <c r="N11" s="57" t="s">
        <v>68</v>
      </c>
      <c r="O11" s="58" t="s">
        <v>69</v>
      </c>
      <c r="P11" s="59" t="s">
        <v>70</v>
      </c>
    </row>
    <row r="12" spans="1:16" ht="12.75" customHeight="1" thickBot="1">
      <c r="A12" s="47" t="str">
        <f>P12</f>
        <v>IBVS 5690 </v>
      </c>
      <c r="B12" s="6" t="str">
        <f>IF(H12=INT(H12),"I","II")</f>
        <v>I</v>
      </c>
      <c r="C12" s="47">
        <f>1*G12</f>
        <v>53406.003599999996</v>
      </c>
      <c r="D12" s="28" t="str">
        <f>VLOOKUP(F12,I$1:J$5,2,FALSE)</f>
        <v>vis</v>
      </c>
      <c r="E12" s="55">
        <f>VLOOKUP(C12,Active!C$21:E$973,3,FALSE)</f>
        <v>1676.0023819651451</v>
      </c>
      <c r="F12" s="6" t="s">
        <v>62</v>
      </c>
      <c r="G12" s="28" t="str">
        <f>MID(I12,3,LEN(I12)-3)</f>
        <v>53406.0036</v>
      </c>
      <c r="H12" s="47">
        <f>1*K12</f>
        <v>1676</v>
      </c>
      <c r="I12" s="56" t="s">
        <v>71</v>
      </c>
      <c r="J12" s="57" t="s">
        <v>72</v>
      </c>
      <c r="K12" s="56">
        <v>1676</v>
      </c>
      <c r="L12" s="56" t="s">
        <v>73</v>
      </c>
      <c r="M12" s="57" t="s">
        <v>67</v>
      </c>
      <c r="N12" s="57" t="s">
        <v>68</v>
      </c>
      <c r="O12" s="58" t="s">
        <v>69</v>
      </c>
      <c r="P12" s="59" t="s">
        <v>74</v>
      </c>
    </row>
    <row r="13" spans="1:16" ht="12.75" customHeight="1" thickBot="1">
      <c r="A13" s="47" t="str">
        <f>P13</f>
        <v>BAVM 228 </v>
      </c>
      <c r="B13" s="6" t="str">
        <f>IF(H13=INT(H13),"I","II")</f>
        <v>I</v>
      </c>
      <c r="C13" s="47">
        <f>1*G13</f>
        <v>56011.348400000003</v>
      </c>
      <c r="D13" s="28" t="str">
        <f>VLOOKUP(F13,I$1:J$5,2,FALSE)</f>
        <v>vis</v>
      </c>
      <c r="E13" s="55">
        <f>VLOOKUP(C13,Active!C$21:E$973,3,FALSE)</f>
        <v>3761.9991693147463</v>
      </c>
      <c r="F13" s="6" t="s">
        <v>62</v>
      </c>
      <c r="G13" s="28" t="str">
        <f>MID(I13,3,LEN(I13)-3)</f>
        <v>56011.3484</v>
      </c>
      <c r="H13" s="47">
        <f>1*K13</f>
        <v>3762</v>
      </c>
      <c r="I13" s="56" t="s">
        <v>75</v>
      </c>
      <c r="J13" s="57" t="s">
        <v>76</v>
      </c>
      <c r="K13" s="56">
        <v>3762</v>
      </c>
      <c r="L13" s="56" t="s">
        <v>77</v>
      </c>
      <c r="M13" s="57" t="s">
        <v>78</v>
      </c>
      <c r="N13" s="57" t="s">
        <v>79</v>
      </c>
      <c r="O13" s="58" t="s">
        <v>80</v>
      </c>
      <c r="P13" s="59" t="s">
        <v>81</v>
      </c>
    </row>
    <row r="14" spans="1:16" ht="12.75" customHeight="1" thickBot="1">
      <c r="A14" s="47" t="str">
        <f>P14</f>
        <v>IBVS 6033 </v>
      </c>
      <c r="B14" s="6" t="str">
        <f>IF(H14=INT(H14),"I","II")</f>
        <v>I</v>
      </c>
      <c r="C14" s="47">
        <f>1*G14</f>
        <v>56046.321199999998</v>
      </c>
      <c r="D14" s="28" t="str">
        <f>VLOOKUP(F14,I$1:J$5,2,FALSE)</f>
        <v>vis</v>
      </c>
      <c r="E14" s="55">
        <f>VLOOKUP(C14,Active!C$21:E$973,3,FALSE)</f>
        <v>3790.0005104211559</v>
      </c>
      <c r="F14" s="6" t="s">
        <v>62</v>
      </c>
      <c r="G14" s="28" t="str">
        <f>MID(I14,3,LEN(I14)-3)</f>
        <v>56046.3212</v>
      </c>
      <c r="H14" s="47">
        <f>1*K14</f>
        <v>3790</v>
      </c>
      <c r="I14" s="56" t="s">
        <v>82</v>
      </c>
      <c r="J14" s="57" t="s">
        <v>83</v>
      </c>
      <c r="K14" s="56">
        <v>3790</v>
      </c>
      <c r="L14" s="56" t="s">
        <v>84</v>
      </c>
      <c r="M14" s="57" t="s">
        <v>78</v>
      </c>
      <c r="N14" s="57" t="s">
        <v>79</v>
      </c>
      <c r="O14" s="58" t="s">
        <v>85</v>
      </c>
      <c r="P14" s="59" t="s">
        <v>86</v>
      </c>
    </row>
    <row r="15" spans="1:16" ht="12.75" customHeight="1" thickBot="1">
      <c r="A15" s="47" t="str">
        <f>P15</f>
        <v>BAVM 241 (=IBVS 6157) </v>
      </c>
      <c r="B15" s="6" t="str">
        <f>IF(H15=INT(H15),"I","II")</f>
        <v>I</v>
      </c>
      <c r="C15" s="47">
        <f>1*G15</f>
        <v>57125.430200000003</v>
      </c>
      <c r="D15" s="28" t="str">
        <f>VLOOKUP(F15,I$1:J$5,2,FALSE)</f>
        <v>vis</v>
      </c>
      <c r="E15" s="55">
        <f>VLOOKUP(C15,Active!C$21:E$973,3,FALSE)</f>
        <v>4654.0005104211732</v>
      </c>
      <c r="F15" s="6" t="s">
        <v>62</v>
      </c>
      <c r="G15" s="28" t="str">
        <f>MID(I15,3,LEN(I15)-3)</f>
        <v>57125.4302</v>
      </c>
      <c r="H15" s="47">
        <f>1*K15</f>
        <v>4654</v>
      </c>
      <c r="I15" s="56" t="s">
        <v>87</v>
      </c>
      <c r="J15" s="57" t="s">
        <v>88</v>
      </c>
      <c r="K15" s="56">
        <v>4654</v>
      </c>
      <c r="L15" s="56" t="s">
        <v>89</v>
      </c>
      <c r="M15" s="57" t="s">
        <v>78</v>
      </c>
      <c r="N15" s="57" t="s">
        <v>79</v>
      </c>
      <c r="O15" s="58" t="s">
        <v>80</v>
      </c>
      <c r="P15" s="59" t="s">
        <v>90</v>
      </c>
    </row>
    <row r="16" spans="1:16">
      <c r="B16" s="6"/>
      <c r="F16" s="6"/>
    </row>
    <row r="17" spans="2:6">
      <c r="B17" s="6"/>
      <c r="F17" s="6"/>
    </row>
    <row r="18" spans="2:6">
      <c r="B18" s="6"/>
      <c r="F18" s="6"/>
    </row>
    <row r="19" spans="2:6">
      <c r="B19" s="6"/>
      <c r="F19" s="6"/>
    </row>
    <row r="20" spans="2:6">
      <c r="B20" s="6"/>
      <c r="F20" s="6"/>
    </row>
    <row r="21" spans="2:6">
      <c r="B21" s="6"/>
      <c r="F21" s="6"/>
    </row>
    <row r="22" spans="2:6">
      <c r="B22" s="6"/>
      <c r="F22" s="6"/>
    </row>
    <row r="23" spans="2:6">
      <c r="B23" s="6"/>
      <c r="F23" s="6"/>
    </row>
    <row r="24" spans="2:6">
      <c r="B24" s="6"/>
      <c r="F24" s="6"/>
    </row>
    <row r="25" spans="2:6">
      <c r="B25" s="6"/>
      <c r="F25" s="6"/>
    </row>
    <row r="26" spans="2:6">
      <c r="B26" s="6"/>
      <c r="F26" s="6"/>
    </row>
    <row r="27" spans="2:6">
      <c r="B27" s="6"/>
      <c r="F27" s="6"/>
    </row>
    <row r="28" spans="2:6">
      <c r="B28" s="6"/>
      <c r="F28" s="6"/>
    </row>
    <row r="29" spans="2:6">
      <c r="B29" s="6"/>
      <c r="F29" s="6"/>
    </row>
    <row r="30" spans="2:6">
      <c r="B30" s="6"/>
      <c r="F30" s="6"/>
    </row>
    <row r="31" spans="2:6">
      <c r="B31" s="6"/>
      <c r="F31" s="6"/>
    </row>
    <row r="32" spans="2: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</sheetData>
  <phoneticPr fontId="7" type="noConversion"/>
  <hyperlinks>
    <hyperlink ref="P11" r:id="rId1" display="http://www.konkoly.hu/cgi-bin/IBVS?5592"/>
    <hyperlink ref="P12" r:id="rId2" display="http://www.konkoly.hu/cgi-bin/IBVS?5690"/>
    <hyperlink ref="P13" r:id="rId3" display="http://www.bav-astro.de/sfs/BAVM_link.php?BAVMnr=228"/>
    <hyperlink ref="P14" r:id="rId4" display="http://www.konkoly.hu/cgi-bin/IBVS?6033"/>
    <hyperlink ref="P15" r:id="rId5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2024-01-30T04:32:57Z</dcterms:modified>
</cp:coreProperties>
</file>