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6F18D7B-8FA0-4E81-909F-FD66E0383B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30" i="1"/>
  <c r="F30" i="1" s="1"/>
  <c r="G30" i="1" s="1"/>
  <c r="K30" i="1" s="1"/>
  <c r="Q30" i="1"/>
  <c r="E31" i="1"/>
  <c r="F31" i="1" s="1"/>
  <c r="G31" i="1" s="1"/>
  <c r="K31" i="1" s="1"/>
  <c r="Q31" i="1"/>
  <c r="E29" i="1"/>
  <c r="F29" i="1" s="1"/>
  <c r="G29" i="1" s="1"/>
  <c r="K29" i="1" s="1"/>
  <c r="E21" i="1"/>
  <c r="F21" i="1" s="1"/>
  <c r="G21" i="1" s="1"/>
  <c r="I21" i="1" s="1"/>
  <c r="E24" i="1"/>
  <c r="F24" i="1" s="1"/>
  <c r="G24" i="1" s="1"/>
  <c r="K24" i="1" s="1"/>
  <c r="E27" i="1"/>
  <c r="F27" i="1" s="1"/>
  <c r="G27" i="1" s="1"/>
  <c r="I27" i="1" s="1"/>
  <c r="Q28" i="1"/>
  <c r="Q29" i="1"/>
  <c r="E28" i="1"/>
  <c r="F28" i="1" s="1"/>
  <c r="G28" i="1" s="1"/>
  <c r="K28" i="1" s="1"/>
  <c r="E22" i="1"/>
  <c r="F22" i="1" s="1"/>
  <c r="G22" i="1" s="1"/>
  <c r="K22" i="1" s="1"/>
  <c r="Q21" i="1"/>
  <c r="Q24" i="1"/>
  <c r="Q25" i="1"/>
  <c r="Q27" i="1"/>
  <c r="Q26" i="1"/>
  <c r="Q23" i="1"/>
  <c r="C17" i="1"/>
  <c r="Q22" i="1"/>
  <c r="E26" i="1"/>
  <c r="F26" i="1" s="1"/>
  <c r="G26" i="1" s="1"/>
  <c r="I26" i="1" s="1"/>
  <c r="E23" i="1"/>
  <c r="F23" i="1"/>
  <c r="G23" i="1" s="1"/>
  <c r="K23" i="1" s="1"/>
  <c r="E25" i="1"/>
  <c r="F25" i="1" s="1"/>
  <c r="G25" i="1" s="1"/>
  <c r="K25" i="1" s="1"/>
  <c r="C12" i="1"/>
  <c r="C11" i="1"/>
  <c r="F15" i="1" l="1"/>
  <c r="O31" i="1"/>
  <c r="O30" i="1"/>
  <c r="O27" i="1"/>
  <c r="O22" i="1"/>
  <c r="O26" i="1"/>
  <c r="C15" i="1"/>
  <c r="O23" i="1"/>
  <c r="O24" i="1"/>
  <c r="O28" i="1"/>
  <c r="O29" i="1"/>
  <c r="O21" i="1"/>
  <c r="O25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<sst xmlns="http://schemas.openxmlformats.org/spreadsheetml/2006/main" count="83" uniqueCount="66">
  <si>
    <t>OEJV 0191</t>
  </si>
  <si>
    <t>OEJV 0181</t>
  </si>
  <si>
    <t>VSB 060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</si>
  <si>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</si>
  <si>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</si>
  <si>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</si>
  <si>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</si>
  <si>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</si>
  <si>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</si>
  <si>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</si>
  <si>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</si>
  <si>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</si>
  <si>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</si>
  <si>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</si>
  <si>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</si>
  <si>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</si>
  <si>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</si>
  <si>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</si>
  <si>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</si>
  <si>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</si>
  <si>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</si>
  <si>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</si>
  <si>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</si>
  <si>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</si>
  <si>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</si>
  <si>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</si>
  <si>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</si>
  <si>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</si>
  <si>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</si>
  <si>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</si>
  <si>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</si>
  <si>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</si>
  <si>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</si>
  <si>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</si>
  <si>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</si>
  <si>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</si>
  <si>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</si>
  <si>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</si>
  <si>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</si>
  <si>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</si>
  <si>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</si>
  <si>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</si>
  <si>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</si>
  <si>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</si>
  <si>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</si>
  <si>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BF Cap</t>
  </si>
  <si>
    <t>G6336-1160</t>
  </si>
  <si>
    <t>EB</t>
  </si>
  <si>
    <t>pr_0</t>
  </si>
  <si>
    <t>F0V</t>
  </si>
  <si>
    <t>BF Cap / GSC 6336-1160</t>
  </si>
  <si>
    <t>as of2017-11-24</t>
  </si>
  <si>
    <t>Kreimer</t>
  </si>
  <si>
    <t>GCVS</t>
  </si>
  <si>
    <t>VSB_061</t>
  </si>
  <si>
    <t>Ic</t>
  </si>
  <si>
    <t>VSB, 91</t>
  </si>
  <si>
    <t>U</t>
  </si>
  <si>
    <t>Ha</t>
  </si>
  <si>
    <t>F21</t>
  </si>
  <si>
    <t>G21</t>
  </si>
  <si>
    <t xml:space="preserve">Mag </t>
  </si>
  <si>
    <t>Next ToM-P</t>
  </si>
  <si>
    <t>Next ToM-S</t>
  </si>
  <si>
    <t>VSX</t>
  </si>
  <si>
    <t>8.82-9.18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</si>
</sst>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11" fillId="0" borderId="0" xfId="0" applyFont="1" applyAlignment="1"/>
    <xf numFmtId="0" fontId="33" fillId="0" borderId="0" xfId="41" applyFont="1"/>
    <xf numFmtId="0" fontId="33" fillId="0" borderId="0" xfId="41" applyFont="1" applyAlignment="1">
      <alignment horizontal="center"/>
    </xf>
    <xf numFmtId="0" fontId="34" fillId="0" borderId="0" xfId="41" applyFont="1"/>
    <xf numFmtId="0" fontId="34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10" fillId="0" borderId="0" xfId="42" applyFont="1" applyAlignment="1">
      <alignment horizontal="left"/>
    </xf>
    <xf numFmtId="0" fontId="10" fillId="0" borderId="0" xfId="42" applyFont="1" applyAlignment="1">
      <alignment horizont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6" fillId="26" borderId="11" xfId="0" applyFont="1" applyFill="1" applyBorder="1" applyAlignment="1">
      <alignment horizontal="right" vertical="center"/>
    </xf>
    <xf numFmtId="0" fontId="6" fillId="26" borderId="12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right" vertical="center"/>
    </xf>
    <xf numFmtId="0" fontId="38" fillId="0" borderId="14" xfId="0" applyFont="1" applyBorder="1" applyAlignment="1">
      <alignment horizontal="right" vertical="center"/>
    </xf>
    <xf numFmtId="22" fontId="38" fillId="0" borderId="14" xfId="0" applyNumberFormat="1" applyFont="1" applyBorder="1" applyAlignment="1">
      <alignment horizontal="right" vertical="center"/>
    </xf>
    <xf numFmtId="22" fontId="38" fillId="0" borderId="15" xfId="0" applyNumberFormat="1" applyFont="1" applyBorder="1" applyAlignment="1">
      <alignment horizontal="right" vertical="center"/>
    </xf>
    <xf numFmtId="0" fontId="37" fillId="0" borderId="16" xfId="0" applyFont="1" applyBorder="1" applyAlignment="1">
      <alignment horizontal="right" vertical="center"/>
    </xf>
    <xf numFmtId="0" fontId="39" fillId="0" borderId="14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41" applyFont="1" applyAlignment="1">
      <alignment horizontal="left" vertical="center"/>
    </xf>
    <xf numFmtId="0" fontId="33" fillId="0" borderId="0" xfId="41" applyFont="1" applyAlignment="1">
      <alignment horizontal="left" vertical="center"/>
    </xf>
    <xf numFmtId="0" fontId="6" fillId="0" borderId="0" xfId="41" applyAlignment="1">
      <alignment horizontal="left" vertical="center"/>
    </xf>
    <xf numFmtId="0" fontId="34" fillId="0" borderId="0" xfId="41" applyFont="1" applyAlignment="1">
      <alignment horizontal="left" vertical="center"/>
    </xf>
    <xf numFmtId="0" fontId="10" fillId="0" borderId="0" xfId="41" applyFont="1" applyAlignment="1">
      <alignment horizontal="left" vertical="center"/>
    </xf>
    <xf numFmtId="0" fontId="35" fillId="0" borderId="0" xfId="42" applyFont="1" applyAlignment="1">
      <alignment horizontal="left" vertical="center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Cap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7510</c:v>
                </c:pt>
                <c:pt idx="2">
                  <c:v>16409.5</c:v>
                </c:pt>
                <c:pt idx="3">
                  <c:v>16409.5</c:v>
                </c:pt>
                <c:pt idx="4">
                  <c:v>16409.5</c:v>
                </c:pt>
                <c:pt idx="5">
                  <c:v>16493</c:v>
                </c:pt>
                <c:pt idx="6">
                  <c:v>17212</c:v>
                </c:pt>
                <c:pt idx="7">
                  <c:v>17856</c:v>
                </c:pt>
                <c:pt idx="8">
                  <c:v>17901</c:v>
                </c:pt>
                <c:pt idx="9">
                  <c:v>20418</c:v>
                </c:pt>
                <c:pt idx="10">
                  <c:v>20418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50-4AA1-9A86-03F9A062F0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7510</c:v>
                </c:pt>
                <c:pt idx="2">
                  <c:v>16409.5</c:v>
                </c:pt>
                <c:pt idx="3">
                  <c:v>16409.5</c:v>
                </c:pt>
                <c:pt idx="4">
                  <c:v>16409.5</c:v>
                </c:pt>
                <c:pt idx="5">
                  <c:v>16493</c:v>
                </c:pt>
                <c:pt idx="6">
                  <c:v>17212</c:v>
                </c:pt>
                <c:pt idx="7">
                  <c:v>17856</c:v>
                </c:pt>
                <c:pt idx="8">
                  <c:v>17901</c:v>
                </c:pt>
                <c:pt idx="9">
                  <c:v>20418</c:v>
                </c:pt>
                <c:pt idx="10">
                  <c:v>20418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5">
                  <c:v>2.0201799998176284E-3</c:v>
                </c:pt>
                <c:pt idx="6">
                  <c:v>-8.3687999722314999E-4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50-4AA1-9A86-03F9A062F0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7510</c:v>
                </c:pt>
                <c:pt idx="2">
                  <c:v>16409.5</c:v>
                </c:pt>
                <c:pt idx="3">
                  <c:v>16409.5</c:v>
                </c:pt>
                <c:pt idx="4">
                  <c:v>16409.5</c:v>
                </c:pt>
                <c:pt idx="5">
                  <c:v>16493</c:v>
                </c:pt>
                <c:pt idx="6">
                  <c:v>17212</c:v>
                </c:pt>
                <c:pt idx="7">
                  <c:v>17856</c:v>
                </c:pt>
                <c:pt idx="8">
                  <c:v>17901</c:v>
                </c:pt>
                <c:pt idx="9">
                  <c:v>20418</c:v>
                </c:pt>
                <c:pt idx="10">
                  <c:v>20418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50-4AA1-9A86-03F9A062F0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7510</c:v>
                </c:pt>
                <c:pt idx="2">
                  <c:v>16409.5</c:v>
                </c:pt>
                <c:pt idx="3">
                  <c:v>16409.5</c:v>
                </c:pt>
                <c:pt idx="4">
                  <c:v>16409.5</c:v>
                </c:pt>
                <c:pt idx="5">
                  <c:v>16493</c:v>
                </c:pt>
                <c:pt idx="6">
                  <c:v>17212</c:v>
                </c:pt>
                <c:pt idx="7">
                  <c:v>17856</c:v>
                </c:pt>
                <c:pt idx="8">
                  <c:v>17901</c:v>
                </c:pt>
                <c:pt idx="9">
                  <c:v>20418</c:v>
                </c:pt>
                <c:pt idx="10">
                  <c:v>20418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-9.0739999723155051E-4</c:v>
                </c:pt>
                <c:pt idx="2">
                  <c:v>1.6244470003584865E-2</c:v>
                </c:pt>
                <c:pt idx="3">
                  <c:v>1.6244470214587636E-2</c:v>
                </c:pt>
                <c:pt idx="4">
                  <c:v>1.6244470214587636E-2</c:v>
                </c:pt>
                <c:pt idx="7">
                  <c:v>-5.0134400007664226E-3</c:v>
                </c:pt>
                <c:pt idx="8">
                  <c:v>-4.2173999827355146E-4</c:v>
                </c:pt>
                <c:pt idx="9">
                  <c:v>4.7406799130840227E-3</c:v>
                </c:pt>
                <c:pt idx="10">
                  <c:v>4.7406799130840227E-3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50-4AA1-9A86-03F9A062F0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7510</c:v>
                </c:pt>
                <c:pt idx="2">
                  <c:v>16409.5</c:v>
                </c:pt>
                <c:pt idx="3">
                  <c:v>16409.5</c:v>
                </c:pt>
                <c:pt idx="4">
                  <c:v>16409.5</c:v>
                </c:pt>
                <c:pt idx="5">
                  <c:v>16493</c:v>
                </c:pt>
                <c:pt idx="6">
                  <c:v>17212</c:v>
                </c:pt>
                <c:pt idx="7">
                  <c:v>17856</c:v>
                </c:pt>
                <c:pt idx="8">
                  <c:v>17901</c:v>
                </c:pt>
                <c:pt idx="9">
                  <c:v>20418</c:v>
                </c:pt>
                <c:pt idx="10">
                  <c:v>20418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50-4AA1-9A86-03F9A062F0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7510</c:v>
                </c:pt>
                <c:pt idx="2">
                  <c:v>16409.5</c:v>
                </c:pt>
                <c:pt idx="3">
                  <c:v>16409.5</c:v>
                </c:pt>
                <c:pt idx="4">
                  <c:v>16409.5</c:v>
                </c:pt>
                <c:pt idx="5">
                  <c:v>16493</c:v>
                </c:pt>
                <c:pt idx="6">
                  <c:v>17212</c:v>
                </c:pt>
                <c:pt idx="7">
                  <c:v>17856</c:v>
                </c:pt>
                <c:pt idx="8">
                  <c:v>17901</c:v>
                </c:pt>
                <c:pt idx="9">
                  <c:v>20418</c:v>
                </c:pt>
                <c:pt idx="10">
                  <c:v>20418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50-4AA1-9A86-03F9A062F0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7510</c:v>
                </c:pt>
                <c:pt idx="2">
                  <c:v>16409.5</c:v>
                </c:pt>
                <c:pt idx="3">
                  <c:v>16409.5</c:v>
                </c:pt>
                <c:pt idx="4">
                  <c:v>16409.5</c:v>
                </c:pt>
                <c:pt idx="5">
                  <c:v>16493</c:v>
                </c:pt>
                <c:pt idx="6">
                  <c:v>17212</c:v>
                </c:pt>
                <c:pt idx="7">
                  <c:v>17856</c:v>
                </c:pt>
                <c:pt idx="8">
                  <c:v>17901</c:v>
                </c:pt>
                <c:pt idx="9">
                  <c:v>20418</c:v>
                </c:pt>
                <c:pt idx="10">
                  <c:v>20418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50-4AA1-9A86-03F9A062F0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7510</c:v>
                </c:pt>
                <c:pt idx="2">
                  <c:v>16409.5</c:v>
                </c:pt>
                <c:pt idx="3">
                  <c:v>16409.5</c:v>
                </c:pt>
                <c:pt idx="4">
                  <c:v>16409.5</c:v>
                </c:pt>
                <c:pt idx="5">
                  <c:v>16493</c:v>
                </c:pt>
                <c:pt idx="6">
                  <c:v>17212</c:v>
                </c:pt>
                <c:pt idx="7">
                  <c:v>17856</c:v>
                </c:pt>
                <c:pt idx="8">
                  <c:v>17901</c:v>
                </c:pt>
                <c:pt idx="9">
                  <c:v>20418</c:v>
                </c:pt>
                <c:pt idx="10">
                  <c:v>20418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5.99678571593305E-4</c:v>
                </c:pt>
                <c:pt idx="1">
                  <c:v>2.6884872157681597E-3</c:v>
                </c:pt>
                <c:pt idx="2">
                  <c:v>5.1637671796608527E-3</c:v>
                </c:pt>
                <c:pt idx="3">
                  <c:v>5.1637671796608527E-3</c:v>
                </c:pt>
                <c:pt idx="4">
                  <c:v>5.1637671796608527E-3</c:v>
                </c:pt>
                <c:pt idx="5">
                  <c:v>5.1869916166500133E-3</c:v>
                </c:pt>
                <c:pt idx="6">
                  <c:v>5.3869720980297365E-3</c:v>
                </c:pt>
                <c:pt idx="7">
                  <c:v>5.566092306664704E-3</c:v>
                </c:pt>
                <c:pt idx="8">
                  <c:v>5.5786084703115576E-3</c:v>
                </c:pt>
                <c:pt idx="9">
                  <c:v>6.2786792236255535E-3</c:v>
                </c:pt>
                <c:pt idx="10">
                  <c:v>6.2786792236255535E-3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50-4AA1-9A86-03F9A062F0C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7510</c:v>
                </c:pt>
                <c:pt idx="2">
                  <c:v>16409.5</c:v>
                </c:pt>
                <c:pt idx="3">
                  <c:v>16409.5</c:v>
                </c:pt>
                <c:pt idx="4">
                  <c:v>16409.5</c:v>
                </c:pt>
                <c:pt idx="5">
                  <c:v>16493</c:v>
                </c:pt>
                <c:pt idx="6">
                  <c:v>17212</c:v>
                </c:pt>
                <c:pt idx="7">
                  <c:v>17856</c:v>
                </c:pt>
                <c:pt idx="8">
                  <c:v>17901</c:v>
                </c:pt>
                <c:pt idx="9">
                  <c:v>20418</c:v>
                </c:pt>
                <c:pt idx="10">
                  <c:v>20418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50-4AA1-9A86-03F9A062F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218928"/>
        <c:axId val="1"/>
      </c:scatterChart>
      <c:valAx>
        <c:axId val="459218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218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3D99F89-C284-00BF-57D3-855CA2DD7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140625" customWidth="1"/>
    <col min="4" max="4" width="9.42578125" customWidth="1"/>
    <col min="5" max="5" width="11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1" ht="20.25" x14ac:dyDescent="0.3">
      <c r="A1" s="1" t="s">
        <v>50</v>
      </c>
      <c r="F1" s="35" t="s">
        <v>45</v>
      </c>
      <c r="G1" s="30">
        <v>0</v>
      </c>
      <c r="H1" s="31"/>
      <c r="I1" s="36" t="s">
        <v>46</v>
      </c>
      <c r="J1" s="35" t="s">
        <v>45</v>
      </c>
      <c r="K1" s="37">
        <v>20.182860000000002</v>
      </c>
      <c r="L1" s="33">
        <v>-19.172899999999998</v>
      </c>
      <c r="M1" s="34">
        <v>52500.419900000001</v>
      </c>
      <c r="N1" s="34">
        <v>0.53267580000000003</v>
      </c>
      <c r="O1" s="32" t="s">
        <v>47</v>
      </c>
      <c r="P1" s="33">
        <v>8.94</v>
      </c>
      <c r="Q1" s="33">
        <v>9.27</v>
      </c>
      <c r="S1" s="39" t="s">
        <v>49</v>
      </c>
      <c r="U1" s="38" t="s">
        <v>48</v>
      </c>
    </row>
    <row r="2" spans="1:21" ht="12.95" customHeight="1" x14ac:dyDescent="0.2">
      <c r="A2" t="s">
        <v>28</v>
      </c>
      <c r="B2" t="s">
        <v>47</v>
      </c>
      <c r="C2" s="29"/>
      <c r="D2" s="3"/>
    </row>
    <row r="3" spans="1:21" ht="12.95" customHeight="1" thickBot="1" x14ac:dyDescent="0.25">
      <c r="C3" s="40" t="s">
        <v>51</v>
      </c>
    </row>
    <row r="4" spans="1:21" ht="12.95" customHeight="1" thickTop="1" thickBot="1" x14ac:dyDescent="0.25">
      <c r="A4" s="5" t="s">
        <v>5</v>
      </c>
      <c r="C4" s="26">
        <v>48500.025999999998</v>
      </c>
      <c r="D4" s="27">
        <v>0.53267600000000004</v>
      </c>
    </row>
    <row r="5" spans="1:21" ht="12.95" customHeight="1" thickTop="1" x14ac:dyDescent="0.2">
      <c r="A5" s="9" t="s">
        <v>33</v>
      </c>
      <c r="B5" s="10"/>
      <c r="C5" s="11">
        <v>-9.5</v>
      </c>
      <c r="D5" s="10" t="s">
        <v>34</v>
      </c>
      <c r="E5" s="10"/>
    </row>
    <row r="6" spans="1:21" ht="12.95" customHeight="1" x14ac:dyDescent="0.2">
      <c r="A6" s="5" t="s">
        <v>6</v>
      </c>
      <c r="E6" t="s">
        <v>52</v>
      </c>
    </row>
    <row r="7" spans="1:21" ht="12.95" customHeight="1" x14ac:dyDescent="0.2">
      <c r="A7" t="s">
        <v>7</v>
      </c>
      <c r="C7" s="51">
        <v>48500.025999999998</v>
      </c>
      <c r="D7" s="28" t="s">
        <v>64</v>
      </c>
      <c r="E7">
        <v>52500.419900000001</v>
      </c>
    </row>
    <row r="8" spans="1:21" ht="12.95" customHeight="1" x14ac:dyDescent="0.2">
      <c r="A8" t="s">
        <v>8</v>
      </c>
      <c r="C8" s="51">
        <v>0.53267573999999995</v>
      </c>
      <c r="D8" s="28" t="s">
        <v>64</v>
      </c>
      <c r="E8">
        <v>0.53267580000000003</v>
      </c>
    </row>
    <row r="9" spans="1:21" ht="12.95" customHeight="1" x14ac:dyDescent="0.2">
      <c r="A9" s="23" t="s">
        <v>36</v>
      </c>
      <c r="C9" s="24">
        <v>21</v>
      </c>
      <c r="D9" s="21" t="s">
        <v>59</v>
      </c>
      <c r="E9" s="22" t="s">
        <v>60</v>
      </c>
    </row>
    <row r="10" spans="1:21" ht="12.95" customHeight="1" thickBot="1" x14ac:dyDescent="0.25">
      <c r="A10" s="10"/>
      <c r="B10" s="10"/>
      <c r="C10" s="4" t="s">
        <v>24</v>
      </c>
      <c r="D10" s="4" t="s">
        <v>25</v>
      </c>
      <c r="E10" s="10"/>
    </row>
    <row r="11" spans="1:21" ht="12.95" customHeight="1" x14ac:dyDescent="0.2">
      <c r="A11" s="10" t="s">
        <v>20</v>
      </c>
      <c r="B11" s="10"/>
      <c r="C11" s="20">
        <f ca="1">INTERCEPT(INDIRECT($E$9):G992,INDIRECT($D$9):F992)</f>
        <v>5.99678571593305E-4</v>
      </c>
      <c r="D11" s="3"/>
      <c r="E11" s="10"/>
    </row>
    <row r="12" spans="1:21" ht="12.95" customHeight="1" x14ac:dyDescent="0.2">
      <c r="A12" s="10" t="s">
        <v>21</v>
      </c>
      <c r="B12" s="10"/>
      <c r="C12" s="20">
        <f ca="1">SLOPE(INDIRECT($E$9):G992,INDIRECT($D$9):F992)</f>
        <v>2.7813696993007388E-7</v>
      </c>
      <c r="D12" s="3"/>
      <c r="E12" s="52" t="s">
        <v>61</v>
      </c>
      <c r="F12" s="53" t="s">
        <v>65</v>
      </c>
    </row>
    <row r="13" spans="1:21" ht="12.95" customHeight="1" x14ac:dyDescent="0.2">
      <c r="A13" s="10" t="s">
        <v>23</v>
      </c>
      <c r="B13" s="10"/>
      <c r="C13" s="3" t="s">
        <v>18</v>
      </c>
      <c r="E13" s="54" t="s">
        <v>38</v>
      </c>
      <c r="F13" s="59">
        <v>1</v>
      </c>
    </row>
    <row r="14" spans="1:21" ht="12.95" customHeight="1" x14ac:dyDescent="0.2">
      <c r="A14" s="10"/>
      <c r="B14" s="10"/>
      <c r="C14" s="10"/>
      <c r="E14" s="54" t="s">
        <v>35</v>
      </c>
      <c r="F14" s="55">
        <f ca="1">NOW()+15018.5+$C$5/24</f>
        <v>60517.732476504629</v>
      </c>
    </row>
    <row r="15" spans="1:21" ht="12.95" customHeight="1" x14ac:dyDescent="0.2">
      <c r="A15" s="12" t="s">
        <v>22</v>
      </c>
      <c r="B15" s="10"/>
      <c r="C15" s="13">
        <f ca="1">(C7+C11)+(C8+C12)*INT(MAX(F21:F3533))</f>
        <v>59376.205537999216</v>
      </c>
      <c r="E15" s="54" t="s">
        <v>39</v>
      </c>
      <c r="F15" s="55">
        <f ca="1">ROUND(2*($F$14-$C$7)/$C$8,0)/2+$F$13</f>
        <v>22562</v>
      </c>
    </row>
    <row r="16" spans="1:21" ht="12.95" customHeight="1" x14ac:dyDescent="0.2">
      <c r="A16" s="15" t="s">
        <v>9</v>
      </c>
      <c r="B16" s="10"/>
      <c r="C16" s="16">
        <f ca="1">+C8+C12</f>
        <v>0.53267601813696985</v>
      </c>
      <c r="E16" s="54" t="s">
        <v>40</v>
      </c>
      <c r="F16" s="55">
        <f ca="1">ROUND(2*($F$14-$C$15)/$C$16,0)/2+$F$13</f>
        <v>2144</v>
      </c>
    </row>
    <row r="17" spans="1:21" ht="12.95" customHeight="1" thickBot="1" x14ac:dyDescent="0.25">
      <c r="A17" s="14" t="s">
        <v>32</v>
      </c>
      <c r="B17" s="10"/>
      <c r="C17" s="10">
        <f>COUNT(C21:C2191)</f>
        <v>11</v>
      </c>
      <c r="E17" s="54" t="s">
        <v>62</v>
      </c>
      <c r="F17" s="56">
        <f ca="1">+$C$15+$C$16*$F$16-15018.5-$C$5/24</f>
        <v>45500.158754218217</v>
      </c>
    </row>
    <row r="18" spans="1:21" ht="12.95" customHeight="1" thickTop="1" thickBot="1" x14ac:dyDescent="0.25">
      <c r="A18" s="15" t="s">
        <v>10</v>
      </c>
      <c r="B18" s="10"/>
      <c r="C18" s="18">
        <f ca="1">+C15</f>
        <v>59376.205537999216</v>
      </c>
      <c r="D18" s="19">
        <f ca="1">+C16</f>
        <v>0.53267601813696985</v>
      </c>
      <c r="E18" s="58" t="s">
        <v>63</v>
      </c>
      <c r="F18" s="57">
        <f ca="1">+($C$15+$C$16*$F$16)-($C$16/2)-15018.5-$C$5/24</f>
        <v>45499.89241620915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5" t="s">
        <v>37</v>
      </c>
    </row>
    <row r="21" spans="1:21" ht="12.95" customHeight="1" x14ac:dyDescent="0.2">
      <c r="A21" t="s">
        <v>53</v>
      </c>
      <c r="C21" s="60">
        <v>48500.025999999998</v>
      </c>
      <c r="D21" s="60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5.99678571593305E-4</v>
      </c>
      <c r="Q21" s="2">
        <f>+C21-15018.5</f>
        <v>33481.525999999998</v>
      </c>
    </row>
    <row r="22" spans="1:21" ht="12.95" customHeight="1" x14ac:dyDescent="0.2">
      <c r="A22" t="s">
        <v>52</v>
      </c>
      <c r="C22" s="60">
        <v>52500.419900000001</v>
      </c>
      <c r="D22" s="60" t="s">
        <v>18</v>
      </c>
      <c r="E22">
        <f>+(C22-C$7)/C$8</f>
        <v>7509.9982965246418</v>
      </c>
      <c r="F22">
        <f>ROUND(2*E22,0)/2</f>
        <v>7510</v>
      </c>
      <c r="G22">
        <f>+C22-(C$7+F22*C$8)</f>
        <v>-9.0739999723155051E-4</v>
      </c>
      <c r="K22">
        <f>+G22</f>
        <v>-9.0739999723155051E-4</v>
      </c>
      <c r="O22">
        <f ca="1">+C$11+C$12*$F22</f>
        <v>2.6884872157681597E-3</v>
      </c>
      <c r="Q22" s="2">
        <f>+C22-15018.5</f>
        <v>37481.919900000001</v>
      </c>
    </row>
    <row r="23" spans="1:21" ht="12.95" customHeight="1" x14ac:dyDescent="0.2">
      <c r="A23" s="45" t="s">
        <v>2</v>
      </c>
      <c r="B23" s="46" t="s">
        <v>4</v>
      </c>
      <c r="C23" s="61">
        <v>57240.984799999998</v>
      </c>
      <c r="D23" s="61" t="s">
        <v>55</v>
      </c>
      <c r="E23">
        <f>+(C23-C$7)/C$8</f>
        <v>16409.530495982417</v>
      </c>
      <c r="F23">
        <f>ROUND(2*E23,0)/2</f>
        <v>16409.5</v>
      </c>
      <c r="G23">
        <f>+C23-(C$7+F23*C$8)</f>
        <v>1.6244470003584865E-2</v>
      </c>
      <c r="K23">
        <f>+G23</f>
        <v>1.6244470003584865E-2</v>
      </c>
      <c r="O23">
        <f ca="1">+C$11+C$12*$F23</f>
        <v>5.1637671796608527E-3</v>
      </c>
      <c r="Q23" s="2">
        <f>+C23-15018.5</f>
        <v>42222.484799999998</v>
      </c>
    </row>
    <row r="24" spans="1:21" ht="12.95" customHeight="1" x14ac:dyDescent="0.2">
      <c r="A24" s="41" t="s">
        <v>54</v>
      </c>
      <c r="B24" s="42" t="s">
        <v>4</v>
      </c>
      <c r="C24" s="62">
        <v>57240.984800000209</v>
      </c>
      <c r="D24" s="63"/>
      <c r="E24">
        <f>+(C24-C$7)/C$8</f>
        <v>16409.530495982814</v>
      </c>
      <c r="F24">
        <f>ROUND(2*E24,0)/2</f>
        <v>16409.5</v>
      </c>
      <c r="G24">
        <f>+C24-(C$7+F24*C$8)</f>
        <v>1.6244470214587636E-2</v>
      </c>
      <c r="K24">
        <f>+G24</f>
        <v>1.6244470214587636E-2</v>
      </c>
      <c r="O24">
        <f ca="1">+C$11+C$12*$F24</f>
        <v>5.1637671796608527E-3</v>
      </c>
      <c r="Q24" s="2">
        <f>+C24-15018.5</f>
        <v>42222.484800000209</v>
      </c>
    </row>
    <row r="25" spans="1:21" ht="12.95" customHeight="1" x14ac:dyDescent="0.2">
      <c r="A25" s="41" t="s">
        <v>54</v>
      </c>
      <c r="B25" s="42" t="s">
        <v>4</v>
      </c>
      <c r="C25" s="62">
        <v>57240.984800000209</v>
      </c>
      <c r="D25" s="62" t="s">
        <v>55</v>
      </c>
      <c r="E25">
        <f>+(C25-C$7)/C$8</f>
        <v>16409.530495982814</v>
      </c>
      <c r="F25">
        <f>ROUND(2*E25,0)/2</f>
        <v>16409.5</v>
      </c>
      <c r="G25">
        <f>+C25-(C$7+F25*C$8)</f>
        <v>1.6244470214587636E-2</v>
      </c>
      <c r="K25">
        <f>+G25</f>
        <v>1.6244470214587636E-2</v>
      </c>
      <c r="O25">
        <f ca="1">+C$11+C$12*$F25</f>
        <v>5.1637671796608527E-3</v>
      </c>
      <c r="Q25" s="2">
        <f>+C25-15018.5</f>
        <v>42222.484800000209</v>
      </c>
    </row>
    <row r="26" spans="1:21" ht="12.95" customHeight="1" x14ac:dyDescent="0.2">
      <c r="A26" s="43" t="s">
        <v>1</v>
      </c>
      <c r="B26" s="44" t="s">
        <v>3</v>
      </c>
      <c r="C26" s="64">
        <v>57285.449000000001</v>
      </c>
      <c r="D26" s="65">
        <v>4.0000000000000001E-3</v>
      </c>
      <c r="E26">
        <f>+(C26-C$7)/C$8</f>
        <v>16493.003792513628</v>
      </c>
      <c r="F26">
        <f>ROUND(2*E26,0)/2</f>
        <v>16493</v>
      </c>
      <c r="G26">
        <f>+C26-(C$7+F26*C$8)</f>
        <v>2.0201799998176284E-3</v>
      </c>
      <c r="I26">
        <f>+G26</f>
        <v>2.0201799998176284E-3</v>
      </c>
      <c r="O26">
        <f ca="1">+C$11+C$12*$F26</f>
        <v>5.1869916166500133E-3</v>
      </c>
      <c r="Q26" s="2">
        <f>+C26-15018.5</f>
        <v>42266.949000000001</v>
      </c>
    </row>
    <row r="27" spans="1:21" ht="12.95" customHeight="1" x14ac:dyDescent="0.2">
      <c r="A27" s="43" t="s">
        <v>1</v>
      </c>
      <c r="B27" s="44" t="s">
        <v>3</v>
      </c>
      <c r="C27" s="64">
        <v>57668.44</v>
      </c>
      <c r="D27" s="65">
        <v>3.0000000000000001E-3</v>
      </c>
      <c r="E27">
        <f>+(C27-C$7)/C$8</f>
        <v>17211.998428912877</v>
      </c>
      <c r="F27">
        <f>ROUND(2*E27,0)/2</f>
        <v>17212</v>
      </c>
      <c r="G27">
        <f>+C27-(C$7+F27*C$8)</f>
        <v>-8.3687999722314999E-4</v>
      </c>
      <c r="I27">
        <f>+G27</f>
        <v>-8.3687999722314999E-4</v>
      </c>
      <c r="O27">
        <f ca="1">+C$11+C$12*$F27</f>
        <v>5.3869720980297365E-3</v>
      </c>
      <c r="Q27" s="2">
        <f>+C27-15018.5</f>
        <v>42649.94</v>
      </c>
    </row>
    <row r="28" spans="1:21" ht="12.95" customHeight="1" x14ac:dyDescent="0.2">
      <c r="A28" s="47" t="s">
        <v>0</v>
      </c>
      <c r="B28" s="48" t="s">
        <v>3</v>
      </c>
      <c r="C28" s="66">
        <v>58011.478999999999</v>
      </c>
      <c r="D28" s="66">
        <v>5.0000000000000001E-3</v>
      </c>
      <c r="E28">
        <f>+(C28-C$7)/C$8</f>
        <v>17855.990588195367</v>
      </c>
      <c r="F28">
        <f>ROUND(2*E28,0)/2</f>
        <v>17856</v>
      </c>
      <c r="G28">
        <f>+C28-(C$7+F28*C$8)</f>
        <v>-5.0134400007664226E-3</v>
      </c>
      <c r="K28">
        <f>+G28</f>
        <v>-5.0134400007664226E-3</v>
      </c>
      <c r="O28">
        <f ca="1">+C$11+C$12*$F28</f>
        <v>5.566092306664704E-3</v>
      </c>
      <c r="Q28" s="2">
        <f>+C28-15018.5</f>
        <v>42992.978999999999</v>
      </c>
    </row>
    <row r="29" spans="1:21" ht="12.95" customHeight="1" x14ac:dyDescent="0.2">
      <c r="A29" s="47" t="s">
        <v>0</v>
      </c>
      <c r="B29" s="48" t="s">
        <v>3</v>
      </c>
      <c r="C29" s="66">
        <v>58035.453999999998</v>
      </c>
      <c r="D29" s="66">
        <v>5.0000000000000001E-3</v>
      </c>
      <c r="E29">
        <f>+(C29-C$7)/C$8</f>
        <v>17900.999208261299</v>
      </c>
      <c r="F29">
        <f>ROUND(2*E29,0)/2</f>
        <v>17901</v>
      </c>
      <c r="G29">
        <f>+C29-(C$7+F29*C$8)</f>
        <v>-4.2173999827355146E-4</v>
      </c>
      <c r="K29">
        <f>+G29</f>
        <v>-4.2173999827355146E-4</v>
      </c>
      <c r="O29">
        <f ca="1">+C$11+C$12*$F29</f>
        <v>5.5786084703115576E-3</v>
      </c>
      <c r="Q29" s="2">
        <f>+C29-15018.5</f>
        <v>43016.953999999998</v>
      </c>
    </row>
    <row r="30" spans="1:21" ht="12.95" customHeight="1" x14ac:dyDescent="0.2">
      <c r="A30" s="49" t="s">
        <v>56</v>
      </c>
      <c r="B30" s="50" t="s">
        <v>3</v>
      </c>
      <c r="C30" s="67">
        <v>59376.203999999911</v>
      </c>
      <c r="D30" s="68" t="s">
        <v>57</v>
      </c>
      <c r="E30">
        <f>+(C30-C$7)/C$8</f>
        <v>20418.008899748114</v>
      </c>
      <c r="F30">
        <f>ROUND(2*E30,0)/2</f>
        <v>20418</v>
      </c>
      <c r="G30">
        <f>+C30-(C$7+F30*C$8)</f>
        <v>4.7406799130840227E-3</v>
      </c>
      <c r="K30">
        <f>+G30</f>
        <v>4.7406799130840227E-3</v>
      </c>
      <c r="O30">
        <f ca="1">+C$11+C$12*$F30</f>
        <v>6.2786792236255535E-3</v>
      </c>
      <c r="Q30" s="2">
        <f>+C30-15018.5</f>
        <v>44357.703999999911</v>
      </c>
    </row>
    <row r="31" spans="1:21" x14ac:dyDescent="0.2">
      <c r="A31" s="49" t="s">
        <v>56</v>
      </c>
      <c r="B31" s="50" t="s">
        <v>3</v>
      </c>
      <c r="C31" s="67">
        <v>59376.203999999911</v>
      </c>
      <c r="D31" s="68" t="s">
        <v>58</v>
      </c>
      <c r="E31">
        <f>+(C31-C$7)/C$8</f>
        <v>20418.008899748114</v>
      </c>
      <c r="F31">
        <f>ROUND(2*E31,0)/2</f>
        <v>20418</v>
      </c>
      <c r="G31">
        <f>+C31-(C$7+F31*C$8)</f>
        <v>4.7406799130840227E-3</v>
      </c>
      <c r="K31">
        <f>+G31</f>
        <v>4.7406799130840227E-3</v>
      </c>
      <c r="O31">
        <f ca="1">+C$11+C$12*$F31</f>
        <v>6.2786792236255535E-3</v>
      </c>
      <c r="Q31" s="2">
        <f>+C31-15018.5</f>
        <v>44357.703999999911</v>
      </c>
    </row>
    <row r="32" spans="1:21" x14ac:dyDescent="0.2">
      <c r="C32" s="60"/>
      <c r="D32" s="60"/>
      <c r="Q32" s="2"/>
    </row>
    <row r="33" spans="3:17" x14ac:dyDescent="0.2">
      <c r="C33" s="60"/>
      <c r="D33" s="60"/>
      <c r="Q33" s="2"/>
    </row>
    <row r="34" spans="3:17" x14ac:dyDescent="0.2">
      <c r="C34" s="60"/>
      <c r="D34" s="60"/>
    </row>
    <row r="35" spans="3:17" x14ac:dyDescent="0.2">
      <c r="C35" s="60"/>
      <c r="D35" s="60"/>
    </row>
    <row r="36" spans="3:17" x14ac:dyDescent="0.2">
      <c r="C36" s="60"/>
      <c r="D36" s="60"/>
    </row>
    <row r="37" spans="3:17" x14ac:dyDescent="0.2">
      <c r="C37" s="60"/>
      <c r="D37" s="60"/>
    </row>
    <row r="38" spans="3:17" x14ac:dyDescent="0.2">
      <c r="C38" s="60"/>
      <c r="D38" s="60"/>
    </row>
    <row r="39" spans="3:17" x14ac:dyDescent="0.2">
      <c r="C39" s="60"/>
      <c r="D39" s="60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Y37">
    <sortCondition ref="C21:C37"/>
  </sortState>
  <phoneticPr fontId="8" type="noConversion"/>
  <hyperlinks>
    <hyperlink ref="H2506" r:id="rId1" display="http://vsolj.cetus-net.org/bulletin.html" xr:uid="{00000000-0004-0000-0000-000000000000}"/>
    <hyperlink ref="H64791" r:id="rId2" display="http://vsolj.cetus-net.org/bulletin.html" xr:uid="{00000000-0004-0000-0000-000001000000}"/>
    <hyperlink ref="H64784" r:id="rId3" display="https://www.aavso.org/ejaavso" xr:uid="{00000000-0004-0000-0000-000002000000}"/>
    <hyperlink ref="I64791" r:id="rId4" display="http://vsolj.cetus-net.org/bulletin.html" xr:uid="{00000000-0004-0000-0000-000003000000}"/>
    <hyperlink ref="AQ58442" r:id="rId5" display="http://cdsbib.u-strasbg.fr/cgi-bin/cdsbib?1990RMxAA..21..381G" xr:uid="{00000000-0004-0000-0000-000004000000}"/>
    <hyperlink ref="H64788" r:id="rId6" display="https://www.aavso.org/ejaavso" xr:uid="{00000000-0004-0000-0000-000005000000}"/>
    <hyperlink ref="AP5806" r:id="rId7" display="http://cdsbib.u-strasbg.fr/cgi-bin/cdsbib?1990RMxAA..21..381G" xr:uid="{00000000-0004-0000-0000-000006000000}"/>
    <hyperlink ref="AP5809" r:id="rId8" display="http://cdsbib.u-strasbg.fr/cgi-bin/cdsbib?1990RMxAA..21..381G" xr:uid="{00000000-0004-0000-0000-000007000000}"/>
    <hyperlink ref="AP5807" r:id="rId9" display="http://cdsbib.u-strasbg.fr/cgi-bin/cdsbib?1990RMxAA..21..381G" xr:uid="{00000000-0004-0000-0000-000008000000}"/>
    <hyperlink ref="AP5791" r:id="rId10" display="http://cdsbib.u-strasbg.fr/cgi-bin/cdsbib?1990RMxAA..21..381G" xr:uid="{00000000-0004-0000-0000-000009000000}"/>
    <hyperlink ref="AQ6020" r:id="rId11" display="http://cdsbib.u-strasbg.fr/cgi-bin/cdsbib?1990RMxAA..21..381G" xr:uid="{00000000-0004-0000-0000-00000A000000}"/>
    <hyperlink ref="AQ6024" r:id="rId12" display="http://cdsbib.u-strasbg.fr/cgi-bin/cdsbib?1990RMxAA..21..381G" xr:uid="{00000000-0004-0000-0000-00000B000000}"/>
    <hyperlink ref="AQ168" r:id="rId13" display="http://cdsbib.u-strasbg.fr/cgi-bin/cdsbib?1990RMxAA..21..381G" xr:uid="{00000000-0004-0000-0000-00000C000000}"/>
    <hyperlink ref="I2912" r:id="rId14" display="http://vsolj.cetus-net.org/bulletin.html" xr:uid="{00000000-0004-0000-0000-00000D000000}"/>
    <hyperlink ref="H2912" r:id="rId15" display="http://vsolj.cetus-net.org/bulletin.html" xr:uid="{00000000-0004-0000-0000-00000E000000}"/>
    <hyperlink ref="AQ829" r:id="rId16" display="http://cdsbib.u-strasbg.fr/cgi-bin/cdsbib?1990RMxAA..21..381G" xr:uid="{00000000-0004-0000-0000-00000F000000}"/>
    <hyperlink ref="AQ828" r:id="rId17" display="http://cdsbib.u-strasbg.fr/cgi-bin/cdsbib?1990RMxAA..21..381G" xr:uid="{00000000-0004-0000-0000-000010000000}"/>
    <hyperlink ref="AP4082" r:id="rId18" display="http://cdsbib.u-strasbg.fr/cgi-bin/cdsbib?1990RMxAA..21..381G" xr:uid="{00000000-0004-0000-0000-000011000000}"/>
    <hyperlink ref="AP4100" r:id="rId19" display="http://cdsbib.u-strasbg.fr/cgi-bin/cdsbib?1990RMxAA..21..381G" xr:uid="{00000000-0004-0000-0000-000012000000}"/>
    <hyperlink ref="AP4101" r:id="rId20" display="http://cdsbib.u-strasbg.fr/cgi-bin/cdsbib?1990RMxAA..21..381G" xr:uid="{00000000-0004-0000-0000-000013000000}"/>
    <hyperlink ref="AP4097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2024-07-26T05:34:46Z</dcterms:modified>
</cp:coreProperties>
</file>