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D03770-8221-40D1-8862-B2BAA6B58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H35" i="1" s="1"/>
  <c r="Q35" i="1"/>
  <c r="F14" i="1"/>
  <c r="E33" i="1"/>
  <c r="F33" i="1" s="1"/>
  <c r="G33" i="1" s="1"/>
  <c r="I33" i="1" s="1"/>
  <c r="E28" i="1"/>
  <c r="F28" i="1" s="1"/>
  <c r="G28" i="1" s="1"/>
  <c r="I28" i="1" s="1"/>
  <c r="E24" i="1"/>
  <c r="F24" i="1" s="1"/>
  <c r="G24" i="1" s="1"/>
  <c r="I24" i="1" s="1"/>
  <c r="E22" i="1"/>
  <c r="F22" i="1" s="1"/>
  <c r="G22" i="1" s="1"/>
  <c r="I22" i="1" s="1"/>
  <c r="Q32" i="1"/>
  <c r="E37" i="1"/>
  <c r="F37" i="1" s="1"/>
  <c r="G37" i="1" s="1"/>
  <c r="K37" i="1" s="1"/>
  <c r="C9" i="1"/>
  <c r="D9" i="1"/>
  <c r="Q31" i="1"/>
  <c r="Q30" i="1"/>
  <c r="Q29" i="1"/>
  <c r="Q28" i="1"/>
  <c r="Q27" i="1"/>
  <c r="Q26" i="1"/>
  <c r="Q25" i="1"/>
  <c r="Q24" i="1"/>
  <c r="Q23" i="1"/>
  <c r="Q22" i="1"/>
  <c r="Q21" i="1"/>
  <c r="G14" i="2"/>
  <c r="C14" i="2"/>
  <c r="G13" i="2"/>
  <c r="C13" i="2"/>
  <c r="G12" i="2"/>
  <c r="C12" i="2"/>
  <c r="G11" i="2"/>
  <c r="C11" i="2"/>
  <c r="E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E16" i="2"/>
  <c r="G15" i="2"/>
  <c r="C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6" i="1"/>
  <c r="Q37" i="1"/>
  <c r="C17" i="1"/>
  <c r="Q33" i="1"/>
  <c r="Q34" i="1"/>
  <c r="E31" i="1"/>
  <c r="E25" i="2" s="1"/>
  <c r="E25" i="1"/>
  <c r="F25" i="1" s="1"/>
  <c r="G25" i="1" s="1"/>
  <c r="I25" i="1" s="1"/>
  <c r="E29" i="1"/>
  <c r="F29" i="1" s="1"/>
  <c r="G29" i="1" s="1"/>
  <c r="I29" i="1" s="1"/>
  <c r="E34" i="1"/>
  <c r="F34" i="1" s="1"/>
  <c r="U34" i="1" s="1"/>
  <c r="E32" i="1"/>
  <c r="E26" i="2" s="1"/>
  <c r="F32" i="1"/>
  <c r="G32" i="1" s="1"/>
  <c r="I32" i="1" s="1"/>
  <c r="E26" i="1"/>
  <c r="F26" i="1" s="1"/>
  <c r="G26" i="1" s="1"/>
  <c r="I26" i="1" s="1"/>
  <c r="E21" i="1"/>
  <c r="F21" i="1" s="1"/>
  <c r="G21" i="1" s="1"/>
  <c r="I21" i="1" s="1"/>
  <c r="E36" i="1"/>
  <c r="E13" i="2" s="1"/>
  <c r="F36" i="1"/>
  <c r="G36" i="1" s="1"/>
  <c r="K36" i="1" s="1"/>
  <c r="E23" i="1"/>
  <c r="E17" i="2" s="1"/>
  <c r="E27" i="1"/>
  <c r="F27" i="1" s="1"/>
  <c r="G27" i="1" s="1"/>
  <c r="I27" i="1" s="1"/>
  <c r="E30" i="1"/>
  <c r="E24" i="2" s="1"/>
  <c r="E23" i="2" l="1"/>
  <c r="F30" i="1"/>
  <c r="G30" i="1" s="1"/>
  <c r="I30" i="1" s="1"/>
  <c r="E12" i="2"/>
  <c r="E15" i="2"/>
  <c r="E22" i="2"/>
  <c r="E20" i="2"/>
  <c r="F31" i="1"/>
  <c r="G31" i="1" s="1"/>
  <c r="I31" i="1" s="1"/>
  <c r="F23" i="1"/>
  <c r="G23" i="1" s="1"/>
  <c r="E14" i="2"/>
  <c r="E18" i="2"/>
  <c r="E21" i="2"/>
  <c r="E19" i="2"/>
  <c r="F15" i="1"/>
  <c r="C12" i="1"/>
  <c r="C11" i="1"/>
  <c r="O35" i="1" l="1"/>
  <c r="O30" i="1"/>
  <c r="O22" i="1"/>
  <c r="C15" i="1"/>
  <c r="O21" i="1"/>
  <c r="O25" i="1"/>
  <c r="O32" i="1"/>
  <c r="O27" i="1"/>
  <c r="O29" i="1"/>
  <c r="O34" i="1"/>
  <c r="O26" i="1"/>
  <c r="O24" i="1"/>
  <c r="O31" i="1"/>
  <c r="O33" i="1"/>
  <c r="O36" i="1"/>
  <c r="O23" i="1"/>
  <c r="O37" i="1"/>
  <c r="O28" i="1"/>
  <c r="C16" i="1"/>
  <c r="D18" i="1" s="1"/>
  <c r="I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<sst xmlns="http://schemas.openxmlformats.org/spreadsheetml/2006/main" count="219" uniqueCount="127">
  <si>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</si>
  <si>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</si>
  <si>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</si>
  <si>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</si>
  <si>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</si>
  <si>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</si>
  <si>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</si>
  <si>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</si>
  <si>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</si>
  <si>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</si>
  <si>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</si>
  <si>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</si>
  <si>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</si>
  <si>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</si>
  <si>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</si>
  <si>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</si>
  <si>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</si>
  <si>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</si>
  <si>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</si>
  <si>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</si>
  <si>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</si>
  <si>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</si>
  <si>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</si>
  <si>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</si>
  <si>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</si>
  <si>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</si>
  <si>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</si>
  <si>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</si>
  <si>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</si>
  <si>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 Bull.29</t>
  </si>
  <si>
    <t>EA/KE</t>
  </si>
  <si>
    <t xml:space="preserve">UW Cap / GSC 05745-01107 </t>
  </si>
  <si>
    <t># of data points:</t>
  </si>
  <si>
    <t>OEJV 0160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</si>
  <si>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</si>
  <si>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</si>
  <si>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</si>
  <si>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</si>
  <si>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</si>
  <si>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</si>
  <si>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</si>
  <si>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</si>
  <si>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</si>
  <si>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</si>
  <si>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</si>
  <si>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</si>
  <si>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</si>
  <si>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</si>
  <si>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</si>
  <si>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</si>
  <si>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</si>
  <si>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</si>
  <si>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</si>
  <si>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</si>
  <si>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2427012.590 </t>
  </si>
  <si>
    <t> 01.11.1932 02:09 </t>
  </si>
  <si>
    <t> 1.063 </t>
  </si>
  <si>
    <t> S.Gaposchkin </t>
  </si>
  <si>
    <t> HA 113.71 </t>
  </si>
  <si>
    <t>2427690.465 </t>
  </si>
  <si>
    <t> 09.09.1934 23:09 </t>
  </si>
  <si>
    <t> 1.064 </t>
  </si>
  <si>
    <t>V </t>
  </si>
  <si>
    <t> S.Piotrowski </t>
  </si>
  <si>
    <t> AAC 2.77 </t>
  </si>
  <si>
    <t>2428757.290 </t>
  </si>
  <si>
    <t> 11.08.1937 18:57 </t>
  </si>
  <si>
    <t> 1.059 </t>
  </si>
  <si>
    <t> N.Guriev </t>
  </si>
  <si>
    <t> CTAD 40.1 </t>
  </si>
  <si>
    <t>2428806.275 </t>
  </si>
  <si>
    <t> 29.09.1937 18:36 </t>
  </si>
  <si>
    <t> 1.074 </t>
  </si>
  <si>
    <t>2428860.140 </t>
  </si>
  <si>
    <t> 22.11.1937 15:21 </t>
  </si>
  <si>
    <t> 1.073 </t>
  </si>
  <si>
    <t>2428867.140 </t>
  </si>
  <si>
    <t> 29.11.1937 15:21 </t>
  </si>
  <si>
    <t> 1.078 </t>
  </si>
  <si>
    <t>2428874.119 </t>
  </si>
  <si>
    <t> 06.12.1937 14:51 </t>
  </si>
  <si>
    <t> 1.061 </t>
  </si>
  <si>
    <t>2429113.370 </t>
  </si>
  <si>
    <t> 02.08.1938 20:52 </t>
  </si>
  <si>
    <t> 1.062 </t>
  </si>
  <si>
    <t>2429134.370 </t>
  </si>
  <si>
    <t> 23.08.1938 20:52 </t>
  </si>
  <si>
    <t> 1.075 </t>
  </si>
  <si>
    <t>2430615.318 </t>
  </si>
  <si>
    <t> 12.09.1942 19:37 </t>
  </si>
  <si>
    <t> 1.054 </t>
  </si>
  <si>
    <t> W.Zessewitsch </t>
  </si>
  <si>
    <t> IODE 4.1.167 </t>
  </si>
  <si>
    <t>2431955.672 </t>
  </si>
  <si>
    <t> 15.05.1946 04:07 </t>
  </si>
  <si>
    <t> 1.050 </t>
  </si>
  <si>
    <t> A.Soloviev </t>
  </si>
  <si>
    <t> BSAO 13.25 </t>
  </si>
  <si>
    <t>2434627.290 </t>
  </si>
  <si>
    <t> 06.09.1953 18:57 </t>
  </si>
  <si>
    <t> 0.696 </t>
  </si>
  <si>
    <t>2442990.479 </t>
  </si>
  <si>
    <t> 30.07.1976 23:29 </t>
  </si>
  <si>
    <t> -0.062 </t>
  </si>
  <si>
    <t> R.Diethelm </t>
  </si>
  <si>
    <t> BBS 29 </t>
  </si>
  <si>
    <t>2443016.360 </t>
  </si>
  <si>
    <t> 25.08.1976 20:38 </t>
  </si>
  <si>
    <t> -0.064 </t>
  </si>
  <si>
    <t>2456158.37197 </t>
  </si>
  <si>
    <t> 18.08.2012 20:55 </t>
  </si>
  <si>
    <t> 0.00213 </t>
  </si>
  <si>
    <t>C </t>
  </si>
  <si>
    <t> M.Urbanik </t>
  </si>
  <si>
    <t>OEJV 0160 </t>
  </si>
  <si>
    <t>2456488.55785 </t>
  </si>
  <si>
    <t> 15.07.2013 01:23 </t>
  </si>
  <si>
    <t> -0.00459 </t>
  </si>
  <si>
    <t>R</t>
  </si>
  <si>
    <t> M.Mašek </t>
  </si>
  <si>
    <t>II</t>
  </si>
  <si>
    <t>BAD?</t>
  </si>
  <si>
    <t xml:space="preserve">Mag </t>
  </si>
  <si>
    <t>Next ToM-P</t>
  </si>
  <si>
    <t>Next ToM-S</t>
  </si>
  <si>
    <t>VSX</t>
  </si>
  <si>
    <t>10.75-11.65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</si>
</sst>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Cap - O-C Diagr.</a:t>
            </a:r>
          </a:p>
        </c:rich>
      </c:tx>
      <c:layout>
        <c:manualLayout>
          <c:xMode val="edge"/>
          <c:yMode val="edge"/>
          <c:x val="0.372990691276130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769252958613219"/>
          <c:w val="0.8054668702481836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BA-4B0C-8011-6893852B53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2.8497999996034196E-2</c:v>
                </c:pt>
                <c:pt idx="1">
                  <c:v>2.8888999997434439E-2</c:v>
                </c:pt>
                <c:pt idx="2">
                  <c:v>2.3363999996945495E-2</c:v>
                </c:pt>
                <c:pt idx="3">
                  <c:v>3.9093999996111961E-2</c:v>
                </c:pt>
                <c:pt idx="4">
                  <c:v>3.7896999994700309E-2</c:v>
                </c:pt>
                <c:pt idx="5">
                  <c:v>4.2286999996576924E-2</c:v>
                </c:pt>
                <c:pt idx="6">
                  <c:v>2.5676999994175276E-2</c:v>
                </c:pt>
                <c:pt idx="7">
                  <c:v>2.6814999993803212E-2</c:v>
                </c:pt>
                <c:pt idx="8">
                  <c:v>3.9984999995795079E-2</c:v>
                </c:pt>
                <c:pt idx="9">
                  <c:v>1.7347999993944541E-2</c:v>
                </c:pt>
                <c:pt idx="10">
                  <c:v>1.2471999994886573E-2</c:v>
                </c:pt>
                <c:pt idx="11">
                  <c:v>7.0130000021890737E-3</c:v>
                </c:pt>
                <c:pt idx="12">
                  <c:v>-5.574200000410201E-2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A-4B0C-8011-6893852B53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BA-4B0C-8011-6893852B53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">
                  <c:v>5.2499999583233148E-4</c:v>
                </c:pt>
                <c:pt idx="16">
                  <c:v>-6.387000008544419E-3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BA-4B0C-8011-6893852B53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BA-4B0C-8011-6893852B53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BA-4B0C-8011-6893852B53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BA-4B0C-8011-6893852B53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2.9078051073418841E-2</c:v>
                </c:pt>
                <c:pt idx="1">
                  <c:v>2.8065077762979646E-2</c:v>
                </c:pt>
                <c:pt idx="2">
                  <c:v>2.6470873120647588E-2</c:v>
                </c:pt>
                <c:pt idx="3">
                  <c:v>2.6397696514114312E-2</c:v>
                </c:pt>
                <c:pt idx="4">
                  <c:v>2.6317202246927712E-2</c:v>
                </c:pt>
                <c:pt idx="5">
                  <c:v>2.6306748445994385E-2</c:v>
                </c:pt>
                <c:pt idx="6">
                  <c:v>2.6296294645061065E-2</c:v>
                </c:pt>
                <c:pt idx="7">
                  <c:v>2.5938774653141344E-2</c:v>
                </c:pt>
                <c:pt idx="8">
                  <c:v>2.590741325034137E-2</c:v>
                </c:pt>
                <c:pt idx="9">
                  <c:v>2.3694343592756476E-2</c:v>
                </c:pt>
                <c:pt idx="10">
                  <c:v>2.1691395333931413E-2</c:v>
                </c:pt>
                <c:pt idx="11">
                  <c:v>1.7699088757494603E-2</c:v>
                </c:pt>
                <c:pt idx="12">
                  <c:v>5.2015697417045949E-3</c:v>
                </c:pt>
                <c:pt idx="13">
                  <c:v>5.1628906782512935E-3</c:v>
                </c:pt>
                <c:pt idx="14">
                  <c:v>-1.212874144556155E-2</c:v>
                </c:pt>
                <c:pt idx="15">
                  <c:v>-1.4475619755093008E-2</c:v>
                </c:pt>
                <c:pt idx="16">
                  <c:v>-1.4969039159145946E-2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BA-4B0C-8011-6893852B53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-39418</c:v>
                </c:pt>
                <c:pt idx="1">
                  <c:v>-38449</c:v>
                </c:pt>
                <c:pt idx="2">
                  <c:v>-36924</c:v>
                </c:pt>
                <c:pt idx="3">
                  <c:v>-36854</c:v>
                </c:pt>
                <c:pt idx="4">
                  <c:v>-36777</c:v>
                </c:pt>
                <c:pt idx="5">
                  <c:v>-36767</c:v>
                </c:pt>
                <c:pt idx="6">
                  <c:v>-36757</c:v>
                </c:pt>
                <c:pt idx="7">
                  <c:v>-36415</c:v>
                </c:pt>
                <c:pt idx="8">
                  <c:v>-36385</c:v>
                </c:pt>
                <c:pt idx="9">
                  <c:v>-34268</c:v>
                </c:pt>
                <c:pt idx="10">
                  <c:v>-32352</c:v>
                </c:pt>
                <c:pt idx="11">
                  <c:v>-28533</c:v>
                </c:pt>
                <c:pt idx="12">
                  <c:v>-16578</c:v>
                </c:pt>
                <c:pt idx="13">
                  <c:v>-16541</c:v>
                </c:pt>
                <c:pt idx="14">
                  <c:v>0</c:v>
                </c:pt>
                <c:pt idx="15">
                  <c:v>2245</c:v>
                </c:pt>
                <c:pt idx="16">
                  <c:v>2717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3">
                  <c:v>-5.8499000006122515E-2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BA-4B0C-8011-6893852B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5840"/>
        <c:axId val="1"/>
      </c:scatterChart>
      <c:valAx>
        <c:axId val="68511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08376163590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59502409465698"/>
          <c:y val="0.92000129214617399"/>
          <c:w val="0.773312572262872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438150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873E1-D37A-2E45-7B38-868B0D071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31</v>
      </c>
    </row>
    <row r="2" spans="1:7" ht="12.95" customHeight="1">
      <c r="A2" t="s">
        <v>25</v>
      </c>
      <c r="B2" s="13" t="s">
        <v>30</v>
      </c>
    </row>
    <row r="3" spans="1:7" ht="12.95" customHeight="1"/>
    <row r="4" spans="1:7" ht="12.95" customHeight="1" thickTop="1" thickBot="1">
      <c r="A4" s="8" t="s">
        <v>0</v>
      </c>
      <c r="C4" s="3">
        <v>43016.36</v>
      </c>
      <c r="D4" s="4">
        <v>1.399111</v>
      </c>
    </row>
    <row r="5" spans="1:7" ht="12.95" customHeight="1" thickTop="1">
      <c r="A5" s="20" t="s">
        <v>35</v>
      </c>
      <c r="B5" s="21"/>
      <c r="C5" s="22">
        <v>-9.5</v>
      </c>
      <c r="D5" s="21" t="s">
        <v>36</v>
      </c>
    </row>
    <row r="6" spans="1:7" ht="12.95" customHeight="1">
      <c r="A6" s="8" t="s">
        <v>1</v>
      </c>
    </row>
    <row r="7" spans="1:7" ht="12.95" customHeight="1">
      <c r="A7" t="s">
        <v>2</v>
      </c>
      <c r="C7">
        <v>54587.857000000004</v>
      </c>
      <c r="D7" s="54" t="s">
        <v>125</v>
      </c>
    </row>
    <row r="8" spans="1:7" ht="12.95" customHeight="1">
      <c r="A8" t="s">
        <v>3</v>
      </c>
      <c r="C8">
        <v>0.69956099999999999</v>
      </c>
      <c r="D8" s="54" t="s">
        <v>125</v>
      </c>
      <c r="E8">
        <v>0.69956099999999999</v>
      </c>
    </row>
    <row r="9" spans="1:7" ht="12.95" customHeight="1">
      <c r="A9" s="25" t="s">
        <v>37</v>
      </c>
      <c r="B9" s="26">
        <v>23</v>
      </c>
      <c r="C9" s="23" t="str">
        <f>"F"&amp;B9</f>
        <v>F23</v>
      </c>
      <c r="D9" s="24" t="str">
        <f>"G"&amp;B9</f>
        <v>G23</v>
      </c>
    </row>
    <row r="10" spans="1:7" ht="12.95" customHeight="1" thickBot="1">
      <c r="C10" s="7" t="s">
        <v>20</v>
      </c>
      <c r="D10" s="7" t="s">
        <v>21</v>
      </c>
    </row>
    <row r="11" spans="1:7" ht="12.95" customHeight="1">
      <c r="A11" t="s">
        <v>16</v>
      </c>
      <c r="C11" s="27">
        <f ca="1">INTERCEPT(INDIRECT($D$9):G991,INDIRECT($C$9):F991)</f>
        <v>-1.212874144556155E-2</v>
      </c>
      <c r="D11" s="6"/>
    </row>
    <row r="12" spans="1:7" ht="12.95" customHeight="1">
      <c r="A12" t="s">
        <v>17</v>
      </c>
      <c r="C12" s="27">
        <f ca="1">SLOPE(INDIRECT($D$9):G991,INDIRECT($C$9):F991)</f>
        <v>-1.0453800933324976E-6</v>
      </c>
      <c r="D12" s="6"/>
      <c r="E12" s="46" t="s">
        <v>122</v>
      </c>
      <c r="F12" s="47" t="s">
        <v>126</v>
      </c>
      <c r="G12" s="24"/>
    </row>
    <row r="13" spans="1:7" ht="12.95" customHeight="1">
      <c r="A13" t="s">
        <v>19</v>
      </c>
      <c r="C13" s="6" t="s">
        <v>14</v>
      </c>
      <c r="E13" s="48" t="s">
        <v>38</v>
      </c>
      <c r="F13" s="49">
        <v>1</v>
      </c>
    </row>
    <row r="14" spans="1:7" ht="12.95" customHeight="1">
      <c r="A14" t="s">
        <v>24</v>
      </c>
      <c r="E14" s="48" t="s">
        <v>39</v>
      </c>
      <c r="F14" s="50">
        <f ca="1">NOW()+15018.5+$C$5/24</f>
        <v>60517.762843055556</v>
      </c>
    </row>
    <row r="15" spans="1:7" ht="12.95" customHeight="1">
      <c r="A15" s="5" t="s">
        <v>18</v>
      </c>
      <c r="C15" s="11">
        <f ca="1">(C7+C11)+(C8+C12)*INT(MAX(F21:F3532))</f>
        <v>56488.549267960843</v>
      </c>
      <c r="E15" s="48" t="s">
        <v>40</v>
      </c>
      <c r="F15" s="50">
        <f ca="1">ROUND(2*($F$14-$C$7)/$C$8,0)/2+$F$13</f>
        <v>8477.5</v>
      </c>
    </row>
    <row r="16" spans="1:7" ht="12.95" customHeight="1">
      <c r="A16" s="8" t="s">
        <v>4</v>
      </c>
      <c r="C16" s="12">
        <f ca="1">+C8+C12</f>
        <v>0.69955995461990661</v>
      </c>
      <c r="E16" s="48" t="s">
        <v>41</v>
      </c>
      <c r="F16" s="50">
        <f ca="1">ROUND(2*($F$14-$C$15)/$C$16,0)/2+$F$13</f>
        <v>5760.5</v>
      </c>
    </row>
    <row r="17" spans="1:21" ht="12.95" customHeight="1" thickBot="1">
      <c r="A17" s="16" t="s">
        <v>32</v>
      </c>
      <c r="C17">
        <f>COUNT(C21:C2190)</f>
        <v>17</v>
      </c>
      <c r="E17" s="48" t="s">
        <v>123</v>
      </c>
      <c r="F17" s="51">
        <f ca="1">+$C$15+$C$16*$F$16-15018.5-$C$5/24</f>
        <v>45500.260219882148</v>
      </c>
    </row>
    <row r="18" spans="1:21" ht="12.95" customHeight="1" thickTop="1" thickBot="1">
      <c r="A18" s="8" t="s">
        <v>5</v>
      </c>
      <c r="C18" s="3">
        <f ca="1">+C15</f>
        <v>56488.549267960843</v>
      </c>
      <c r="D18" s="4">
        <f ca="1">+C16</f>
        <v>0.69955995461990661</v>
      </c>
      <c r="E18" s="53" t="s">
        <v>124</v>
      </c>
      <c r="F18" s="52">
        <f ca="1">+($C$15+$C$16*$F$16)-($C$16/2)-15018.5-$C$5/24</f>
        <v>45499.910439904837</v>
      </c>
    </row>
    <row r="19" spans="1:21" ht="12.95" customHeight="1" thickTop="1">
      <c r="E19" s="28"/>
      <c r="F19" s="29"/>
    </row>
    <row r="20" spans="1:21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125</v>
      </c>
      <c r="I20" s="10" t="s">
        <v>52</v>
      </c>
      <c r="J20" s="10" t="s">
        <v>46</v>
      </c>
      <c r="K20" s="10" t="s">
        <v>44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5" t="s">
        <v>121</v>
      </c>
    </row>
    <row r="21" spans="1:21" ht="12.95" customHeight="1">
      <c r="A21" s="43" t="s">
        <v>58</v>
      </c>
      <c r="B21" s="44" t="s">
        <v>120</v>
      </c>
      <c r="C21" s="43">
        <v>27012.59</v>
      </c>
      <c r="D21" s="43" t="s">
        <v>52</v>
      </c>
      <c r="E21">
        <f>+(C21-C$7)/C$8</f>
        <v>-39417.959263023527</v>
      </c>
      <c r="F21">
        <f>ROUND(2*E21,0)/2</f>
        <v>-39418</v>
      </c>
      <c r="G21">
        <f>+C21-(C$7+F21*C$8)</f>
        <v>2.8497999996034196E-2</v>
      </c>
      <c r="I21">
        <f>+G21</f>
        <v>2.8497999996034196E-2</v>
      </c>
      <c r="O21">
        <f ca="1">+C$11+C$12*$F21</f>
        <v>2.9078051073418841E-2</v>
      </c>
      <c r="Q21" s="2">
        <f>+C21-15018.5</f>
        <v>11994.09</v>
      </c>
    </row>
    <row r="22" spans="1:21" ht="12.95" customHeight="1">
      <c r="A22" s="43" t="s">
        <v>64</v>
      </c>
      <c r="B22" s="44" t="s">
        <v>120</v>
      </c>
      <c r="C22" s="43">
        <v>27690.465</v>
      </c>
      <c r="D22" s="43" t="s">
        <v>52</v>
      </c>
      <c r="E22">
        <f>+(C22-C$7)/C$8</f>
        <v>-38448.958704101577</v>
      </c>
      <c r="F22">
        <f>ROUND(2*E22,0)/2</f>
        <v>-38449</v>
      </c>
      <c r="G22">
        <f>+C22-(C$7+F22*C$8)</f>
        <v>2.8888999997434439E-2</v>
      </c>
      <c r="I22">
        <f>+G22</f>
        <v>2.8888999997434439E-2</v>
      </c>
      <c r="O22">
        <f ca="1">+C$11+C$12*$F22</f>
        <v>2.8065077762979646E-2</v>
      </c>
      <c r="Q22" s="2">
        <f>+C22-15018.5</f>
        <v>12671.965</v>
      </c>
    </row>
    <row r="23" spans="1:21" ht="12.95" customHeight="1">
      <c r="A23" s="43" t="s">
        <v>69</v>
      </c>
      <c r="B23" s="44" t="s">
        <v>120</v>
      </c>
      <c r="C23" s="43">
        <v>28757.29</v>
      </c>
      <c r="D23" s="43" t="s">
        <v>52</v>
      </c>
      <c r="E23">
        <f>+(C23-C$7)/C$8</f>
        <v>-36923.966601911772</v>
      </c>
      <c r="F23">
        <f>ROUND(2*E23,0)/2</f>
        <v>-36924</v>
      </c>
      <c r="G23">
        <f>+C23-(C$7+F23*C$8)</f>
        <v>2.3363999996945495E-2</v>
      </c>
      <c r="I23">
        <f>+G23</f>
        <v>2.3363999996945495E-2</v>
      </c>
      <c r="O23">
        <f ca="1">+C$11+C$12*$F23</f>
        <v>2.6470873120647588E-2</v>
      </c>
      <c r="Q23" s="2">
        <f>+C23-15018.5</f>
        <v>13738.79</v>
      </c>
    </row>
    <row r="24" spans="1:21" ht="12.95" customHeight="1">
      <c r="A24" s="43" t="s">
        <v>69</v>
      </c>
      <c r="B24" s="44" t="s">
        <v>120</v>
      </c>
      <c r="C24" s="43">
        <v>28806.275000000001</v>
      </c>
      <c r="D24" s="43" t="s">
        <v>52</v>
      </c>
      <c r="E24">
        <f>+(C24-C$7)/C$8</f>
        <v>-36853.944116381565</v>
      </c>
      <c r="F24">
        <f>ROUND(2*E24,0)/2</f>
        <v>-36854</v>
      </c>
      <c r="G24">
        <f>+C24-(C$7+F24*C$8)</f>
        <v>3.9093999996111961E-2</v>
      </c>
      <c r="I24">
        <f>+G24</f>
        <v>3.9093999996111961E-2</v>
      </c>
      <c r="O24">
        <f ca="1">+C$11+C$12*$F24</f>
        <v>2.6397696514114312E-2</v>
      </c>
      <c r="Q24" s="2">
        <f>+C24-15018.5</f>
        <v>13787.775000000001</v>
      </c>
    </row>
    <row r="25" spans="1:21" ht="12.95" customHeight="1">
      <c r="A25" s="43" t="s">
        <v>69</v>
      </c>
      <c r="B25" s="44" t="s">
        <v>120</v>
      </c>
      <c r="C25" s="43">
        <v>28860.14</v>
      </c>
      <c r="D25" s="43" t="s">
        <v>52</v>
      </c>
      <c r="E25">
        <f>+(C25-C$7)/C$8</f>
        <v>-36776.945827454656</v>
      </c>
      <c r="F25">
        <f>ROUND(2*E25,0)/2</f>
        <v>-36777</v>
      </c>
      <c r="G25">
        <f>+C25-(C$7+F25*C$8)</f>
        <v>3.7896999994700309E-2</v>
      </c>
      <c r="I25">
        <f>+G25</f>
        <v>3.7896999994700309E-2</v>
      </c>
      <c r="O25">
        <f ca="1">+C$11+C$12*$F25</f>
        <v>2.6317202246927712E-2</v>
      </c>
      <c r="Q25" s="2">
        <f>+C25-15018.5</f>
        <v>13841.64</v>
      </c>
    </row>
    <row r="26" spans="1:21" ht="12.95" customHeight="1">
      <c r="A26" s="43" t="s">
        <v>69</v>
      </c>
      <c r="B26" s="44" t="s">
        <v>120</v>
      </c>
      <c r="C26" s="43">
        <v>28867.14</v>
      </c>
      <c r="D26" s="43" t="s">
        <v>52</v>
      </c>
      <c r="E26">
        <f>+(C26-C$7)/C$8</f>
        <v>-36766.939552090531</v>
      </c>
      <c r="F26">
        <f>ROUND(2*E26,0)/2</f>
        <v>-36767</v>
      </c>
      <c r="G26">
        <f>+C26-(C$7+F26*C$8)</f>
        <v>4.2286999996576924E-2</v>
      </c>
      <c r="I26">
        <f>+G26</f>
        <v>4.2286999996576924E-2</v>
      </c>
      <c r="O26">
        <f ca="1">+C$11+C$12*$F26</f>
        <v>2.6306748445994385E-2</v>
      </c>
      <c r="Q26" s="2">
        <f>+C26-15018.5</f>
        <v>13848.64</v>
      </c>
    </row>
    <row r="27" spans="1:21" ht="12.95" customHeight="1">
      <c r="A27" s="43" t="s">
        <v>69</v>
      </c>
      <c r="B27" s="44" t="s">
        <v>120</v>
      </c>
      <c r="C27" s="43">
        <v>28874.118999999999</v>
      </c>
      <c r="D27" s="43" t="s">
        <v>52</v>
      </c>
      <c r="E27">
        <f>+(C27-C$7)/C$8</f>
        <v>-36756.963295552501</v>
      </c>
      <c r="F27">
        <f>ROUND(2*E27,0)/2</f>
        <v>-36757</v>
      </c>
      <c r="G27">
        <f>+C27-(C$7+F27*C$8)</f>
        <v>2.5676999994175276E-2</v>
      </c>
      <c r="I27">
        <f>+G27</f>
        <v>2.5676999994175276E-2</v>
      </c>
      <c r="O27">
        <f ca="1">+C$11+C$12*$F27</f>
        <v>2.6296294645061065E-2</v>
      </c>
      <c r="Q27" s="2">
        <f>+C27-15018.5</f>
        <v>13855.618999999999</v>
      </c>
    </row>
    <row r="28" spans="1:21" ht="12.95" customHeight="1">
      <c r="A28" s="43" t="s">
        <v>69</v>
      </c>
      <c r="B28" s="44" t="s">
        <v>120</v>
      </c>
      <c r="C28" s="43">
        <v>29113.37</v>
      </c>
      <c r="D28" s="43" t="s">
        <v>52</v>
      </c>
      <c r="E28">
        <f>+(C28-C$7)/C$8</f>
        <v>-36414.961668818025</v>
      </c>
      <c r="F28">
        <f>ROUND(2*E28,0)/2</f>
        <v>-36415</v>
      </c>
      <c r="G28">
        <f>+C28-(C$7+F28*C$8)</f>
        <v>2.6814999993803212E-2</v>
      </c>
      <c r="I28">
        <f>+G28</f>
        <v>2.6814999993803212E-2</v>
      </c>
      <c r="O28">
        <f ca="1">+C$11+C$12*$F28</f>
        <v>2.5938774653141344E-2</v>
      </c>
      <c r="Q28" s="2">
        <f>+C28-15018.5</f>
        <v>14094.869999999999</v>
      </c>
    </row>
    <row r="29" spans="1:21">
      <c r="A29" s="43" t="s">
        <v>69</v>
      </c>
      <c r="B29" s="44" t="s">
        <v>120</v>
      </c>
      <c r="C29" s="43">
        <v>29134.37</v>
      </c>
      <c r="D29" s="43" t="s">
        <v>52</v>
      </c>
      <c r="E29">
        <f>+(C29-C$7)/C$8</f>
        <v>-36384.942842725657</v>
      </c>
      <c r="F29">
        <f>ROUND(2*E29,0)/2</f>
        <v>-36385</v>
      </c>
      <c r="G29">
        <f>+C29-(C$7+F29*C$8)</f>
        <v>3.9984999995795079E-2</v>
      </c>
      <c r="I29">
        <f>+G29</f>
        <v>3.9984999995795079E-2</v>
      </c>
      <c r="O29">
        <f ca="1">+C$11+C$12*$F29</f>
        <v>2.590741325034137E-2</v>
      </c>
      <c r="Q29" s="2">
        <f>+C29-15018.5</f>
        <v>14115.869999999999</v>
      </c>
    </row>
    <row r="30" spans="1:21">
      <c r="A30" s="43" t="s">
        <v>92</v>
      </c>
      <c r="B30" s="44" t="s">
        <v>120</v>
      </c>
      <c r="C30" s="43">
        <v>30615.317999999999</v>
      </c>
      <c r="D30" s="43" t="s">
        <v>52</v>
      </c>
      <c r="E30">
        <f>+(C30-C$7)/C$8</f>
        <v>-34267.975201590722</v>
      </c>
      <c r="F30">
        <f>ROUND(2*E30,0)/2</f>
        <v>-34268</v>
      </c>
      <c r="G30">
        <f>+C30-(C$7+F30*C$8)</f>
        <v>1.7347999993944541E-2</v>
      </c>
      <c r="I30">
        <f>+G30</f>
        <v>1.7347999993944541E-2</v>
      </c>
      <c r="O30">
        <f ca="1">+C$11+C$12*$F30</f>
        <v>2.3694343592756476E-2</v>
      </c>
      <c r="Q30" s="2">
        <f>+C30-15018.5</f>
        <v>15596.817999999999</v>
      </c>
    </row>
    <row r="31" spans="1:21">
      <c r="A31" s="43" t="s">
        <v>97</v>
      </c>
      <c r="B31" s="44" t="s">
        <v>120</v>
      </c>
      <c r="C31" s="43">
        <v>31955.671999999999</v>
      </c>
      <c r="D31" s="43" t="s">
        <v>52</v>
      </c>
      <c r="E31">
        <f>+(C31-C$7)/C$8</f>
        <v>-32351.982171676245</v>
      </c>
      <c r="F31">
        <f>ROUND(2*E31,0)/2</f>
        <v>-32352</v>
      </c>
      <c r="G31">
        <f>+C31-(C$7+F31*C$8)</f>
        <v>1.2471999994886573E-2</v>
      </c>
      <c r="I31">
        <f>+G31</f>
        <v>1.2471999994886573E-2</v>
      </c>
      <c r="O31">
        <f ca="1">+C$11+C$12*$F31</f>
        <v>2.1691395333931413E-2</v>
      </c>
      <c r="Q31" s="2">
        <f>+C31-15018.5</f>
        <v>16937.171999999999</v>
      </c>
    </row>
    <row r="32" spans="1:21">
      <c r="A32" s="43" t="s">
        <v>97</v>
      </c>
      <c r="B32" s="44" t="s">
        <v>34</v>
      </c>
      <c r="C32" s="43">
        <v>34627.29</v>
      </c>
      <c r="D32" s="43" t="s">
        <v>52</v>
      </c>
      <c r="E32">
        <f>+(C32-C$7)/C$8</f>
        <v>-28532.989975141558</v>
      </c>
      <c r="F32">
        <f>ROUND(2*E32,0)/2</f>
        <v>-28533</v>
      </c>
      <c r="G32">
        <f>+C32-(C$7+F32*C$8)</f>
        <v>7.0130000021890737E-3</v>
      </c>
      <c r="I32">
        <f>+G32</f>
        <v>7.0130000021890737E-3</v>
      </c>
      <c r="O32">
        <f ca="1">+C$11+C$12*$F32</f>
        <v>1.7699088757494603E-2</v>
      </c>
      <c r="Q32" s="2">
        <f>+C32-15018.5</f>
        <v>19608.79</v>
      </c>
    </row>
    <row r="33" spans="1:21">
      <c r="A33" t="s">
        <v>29</v>
      </c>
      <c r="C33" s="14">
        <v>42990.478999999999</v>
      </c>
      <c r="D33" s="15"/>
      <c r="E33">
        <f>+(C33-C$7)/C$8</f>
        <v>-16578.079681400199</v>
      </c>
      <c r="F33">
        <f>ROUND(2*E33,0)/2</f>
        <v>-16578</v>
      </c>
      <c r="G33">
        <f>+C33-(C$7+F33*C$8)</f>
        <v>-5.574200000410201E-2</v>
      </c>
      <c r="I33">
        <f>+G33</f>
        <v>-5.574200000410201E-2</v>
      </c>
      <c r="O33">
        <f ca="1">+C$11+C$12*$F33</f>
        <v>5.2015697417045949E-3</v>
      </c>
      <c r="Q33" s="2">
        <f>+C33-15018.5</f>
        <v>27971.978999999999</v>
      </c>
    </row>
    <row r="34" spans="1:21">
      <c r="A34" t="s">
        <v>12</v>
      </c>
      <c r="C34" s="15">
        <v>43016.36</v>
      </c>
      <c r="D34" s="15" t="s">
        <v>14</v>
      </c>
      <c r="E34">
        <f>+(C34-C$7)/C$8</f>
        <v>-16541.083622443224</v>
      </c>
      <c r="F34">
        <f>ROUND(2*E34,0)/2</f>
        <v>-16541</v>
      </c>
      <c r="O34">
        <f ca="1">+C$11+C$12*$F34</f>
        <v>5.1628906782512935E-3</v>
      </c>
      <c r="Q34" s="2">
        <f>+C34-15018.5</f>
        <v>27997.86</v>
      </c>
      <c r="U34">
        <f>+C34-(C$7+F34*C$8)</f>
        <v>-5.8499000006122515E-2</v>
      </c>
    </row>
    <row r="35" spans="1:21">
      <c r="A35" s="54" t="s">
        <v>125</v>
      </c>
      <c r="C35" s="15">
        <v>54587.857000000004</v>
      </c>
      <c r="D35" s="15"/>
      <c r="E35">
        <f>+(C35-C$7)/C$8</f>
        <v>0</v>
      </c>
      <c r="F35">
        <f>ROUND(2*E35,0)/2</f>
        <v>0</v>
      </c>
      <c r="G35">
        <f>+C35-(C$7+F35*C$8)</f>
        <v>0</v>
      </c>
      <c r="H35">
        <f>+G35</f>
        <v>0</v>
      </c>
      <c r="O35">
        <f ca="1">+C$11+C$12*$F35</f>
        <v>-1.212874144556155E-2</v>
      </c>
      <c r="Q35" s="2">
        <f>+C35-15018.5</f>
        <v>39569.357000000004</v>
      </c>
    </row>
    <row r="36" spans="1:21">
      <c r="A36" s="17" t="s">
        <v>33</v>
      </c>
      <c r="B36" s="18" t="s">
        <v>34</v>
      </c>
      <c r="C36" s="19">
        <v>56158.37197</v>
      </c>
      <c r="D36" s="19">
        <v>1E-4</v>
      </c>
      <c r="E36">
        <f>+(C36-C$7)/C$8</f>
        <v>2245.0007504706473</v>
      </c>
      <c r="F36">
        <f>ROUND(2*E36,0)/2</f>
        <v>2245</v>
      </c>
      <c r="G36">
        <f>+C36-(C$7+F36*C$8)</f>
        <v>5.2499999583233148E-4</v>
      </c>
      <c r="K36">
        <f>+G36</f>
        <v>5.2499999583233148E-4</v>
      </c>
      <c r="O36">
        <f ca="1">+C$11+C$12*$F36</f>
        <v>-1.4475619755093008E-2</v>
      </c>
      <c r="Q36" s="2">
        <f>+C36-15018.5</f>
        <v>41139.87197</v>
      </c>
    </row>
    <row r="37" spans="1:21">
      <c r="A37" s="17" t="s">
        <v>33</v>
      </c>
      <c r="B37" s="18" t="s">
        <v>34</v>
      </c>
      <c r="C37" s="19">
        <v>56488.557849999997</v>
      </c>
      <c r="D37" s="19">
        <v>2.0000000000000001E-4</v>
      </c>
      <c r="E37">
        <f>+(C37-C$7)/C$8</f>
        <v>2716.9908699884554</v>
      </c>
      <c r="F37">
        <f>ROUND(2*E37,0)/2</f>
        <v>2717</v>
      </c>
      <c r="G37">
        <f>+C37-(C$7+F37*C$8)</f>
        <v>-6.387000008544419E-3</v>
      </c>
      <c r="K37">
        <f>+G37</f>
        <v>-6.387000008544419E-3</v>
      </c>
      <c r="O37">
        <f ca="1">+C$11+C$12*$F37</f>
        <v>-1.4969039159145946E-2</v>
      </c>
      <c r="Q37" s="2">
        <f>+C37-15018.5</f>
        <v>41470.057849999997</v>
      </c>
    </row>
    <row r="38" spans="1:21">
      <c r="C38" s="15"/>
      <c r="D38" s="15"/>
    </row>
    <row r="39" spans="1:21">
      <c r="C39" s="15"/>
      <c r="D39" s="15"/>
    </row>
    <row r="40" spans="1:21">
      <c r="C40" s="15"/>
      <c r="D40" s="15"/>
    </row>
    <row r="41" spans="1:21">
      <c r="C41" s="15"/>
      <c r="D41" s="15"/>
    </row>
    <row r="42" spans="1:21">
      <c r="C42" s="15"/>
      <c r="D42" s="15"/>
    </row>
    <row r="43" spans="1:21">
      <c r="C43" s="15"/>
      <c r="D43" s="15"/>
    </row>
    <row r="44" spans="1:21">
      <c r="C44" s="15"/>
      <c r="D44" s="15"/>
    </row>
    <row r="45" spans="1:21">
      <c r="C45" s="15"/>
      <c r="D45" s="15"/>
    </row>
    <row r="46" spans="1:21">
      <c r="C46" s="15"/>
      <c r="D46" s="15"/>
    </row>
    <row r="47" spans="1:21">
      <c r="C47" s="15"/>
      <c r="D47" s="15"/>
    </row>
    <row r="48" spans="1:2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</sheetData>
  <sortState xmlns:xlrd2="http://schemas.microsoft.com/office/spreadsheetml/2017/richdata2" ref="A21:Z41">
    <sortCondition ref="C21:C41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workbookViewId="0">
      <selection activeCell="A15" sqref="A15:D26"/>
    </sheetView>
  </sheetViews>
  <sheetFormatPr defaultRowHeight="12.75"/>
  <cols>
    <col min="1" max="1" width="19.7109375" style="15" customWidth="1"/>
    <col min="2" max="2" width="4.42578125" style="21" customWidth="1"/>
    <col min="3" max="3" width="12.7109375" style="1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30" t="s">
        <v>42</v>
      </c>
      <c r="I1" s="31" t="s">
        <v>43</v>
      </c>
      <c r="J1" s="32" t="s">
        <v>44</v>
      </c>
    </row>
    <row r="2" spans="1:16">
      <c r="I2" s="33" t="s">
        <v>45</v>
      </c>
      <c r="J2" s="34" t="s">
        <v>46</v>
      </c>
    </row>
    <row r="3" spans="1:16">
      <c r="A3" s="35" t="s">
        <v>47</v>
      </c>
      <c r="I3" s="33" t="s">
        <v>48</v>
      </c>
      <c r="J3" s="34" t="s">
        <v>49</v>
      </c>
    </row>
    <row r="4" spans="1:16">
      <c r="I4" s="33" t="s">
        <v>50</v>
      </c>
      <c r="J4" s="34" t="s">
        <v>49</v>
      </c>
    </row>
    <row r="5" spans="1:16" ht="13.5" thickBot="1">
      <c r="I5" s="36" t="s">
        <v>51</v>
      </c>
      <c r="J5" s="37" t="s">
        <v>52</v>
      </c>
    </row>
    <row r="10" spans="1:16" ht="13.5" thickBot="1"/>
    <row r="11" spans="1:16" ht="12.75" customHeight="1" thickBot="1">
      <c r="A11" s="15" t="str">
        <f t="shared" ref="A11:A26" si="0">P11</f>
        <v> BBS 29 </v>
      </c>
      <c r="B11" s="6" t="str">
        <f t="shared" ref="B11:B26" si="1">IF(H11=INT(H11),"I","II")</f>
        <v>I</v>
      </c>
      <c r="C11" s="15">
        <f t="shared" ref="C11:C26" si="2">1*G11</f>
        <v>42990.478999999999</v>
      </c>
      <c r="D11" s="21" t="str">
        <f t="shared" ref="D11:D26" si="3">VLOOKUP(F11,I$1:J$5,2,FALSE)</f>
        <v>vis</v>
      </c>
      <c r="E11" s="38">
        <f>VLOOKUP(C11,Active!C$21:E$973,3,FALSE)</f>
        <v>-16578.079681400199</v>
      </c>
      <c r="F11" s="6" t="s">
        <v>51</v>
      </c>
      <c r="G11" s="21" t="str">
        <f t="shared" ref="G11:G26" si="4">MID(I11,3,LEN(I11)-3)</f>
        <v>42990.479</v>
      </c>
      <c r="H11" s="15">
        <f t="shared" ref="H11:H26" si="5">1*K11</f>
        <v>-13164</v>
      </c>
      <c r="I11" s="39" t="s">
        <v>101</v>
      </c>
      <c r="J11" s="40" t="s">
        <v>102</v>
      </c>
      <c r="K11" s="39">
        <v>-13164</v>
      </c>
      <c r="L11" s="39" t="s">
        <v>103</v>
      </c>
      <c r="M11" s="40" t="s">
        <v>62</v>
      </c>
      <c r="N11" s="40"/>
      <c r="O11" s="41" t="s">
        <v>104</v>
      </c>
      <c r="P11" s="41" t="s">
        <v>105</v>
      </c>
    </row>
    <row r="12" spans="1:16" ht="12.75" customHeight="1" thickBot="1">
      <c r="A12" s="15" t="str">
        <f t="shared" si="0"/>
        <v> BBS 29 </v>
      </c>
      <c r="B12" s="6" t="str">
        <f t="shared" si="1"/>
        <v>I</v>
      </c>
      <c r="C12" s="15">
        <f t="shared" si="2"/>
        <v>43016.36</v>
      </c>
      <c r="D12" s="21" t="str">
        <f t="shared" si="3"/>
        <v>vis</v>
      </c>
      <c r="E12" s="38">
        <f>VLOOKUP(C12,Active!C$21:E$973,3,FALSE)</f>
        <v>-16541.083622443224</v>
      </c>
      <c r="F12" s="6" t="s">
        <v>51</v>
      </c>
      <c r="G12" s="21" t="str">
        <f t="shared" si="4"/>
        <v>43016.360</v>
      </c>
      <c r="H12" s="15">
        <f t="shared" si="5"/>
        <v>-13127</v>
      </c>
      <c r="I12" s="39" t="s">
        <v>106</v>
      </c>
      <c r="J12" s="40" t="s">
        <v>107</v>
      </c>
      <c r="K12" s="39">
        <v>-13127</v>
      </c>
      <c r="L12" s="39" t="s">
        <v>108</v>
      </c>
      <c r="M12" s="40" t="s">
        <v>62</v>
      </c>
      <c r="N12" s="40"/>
      <c r="O12" s="41" t="s">
        <v>104</v>
      </c>
      <c r="P12" s="41" t="s">
        <v>105</v>
      </c>
    </row>
    <row r="13" spans="1:16" ht="12.75" customHeight="1" thickBot="1">
      <c r="A13" s="15" t="str">
        <f t="shared" si="0"/>
        <v>OEJV 0160 </v>
      </c>
      <c r="B13" s="6" t="str">
        <f t="shared" si="1"/>
        <v>I</v>
      </c>
      <c r="C13" s="15">
        <f t="shared" si="2"/>
        <v>56158.37197</v>
      </c>
      <c r="D13" s="21" t="str">
        <f t="shared" si="3"/>
        <v>vis</v>
      </c>
      <c r="E13" s="38">
        <f>VLOOKUP(C13,Active!C$21:E$973,3,FALSE)</f>
        <v>2245.0007504706473</v>
      </c>
      <c r="F13" s="6" t="s">
        <v>51</v>
      </c>
      <c r="G13" s="21" t="str">
        <f t="shared" si="4"/>
        <v>56158.37197</v>
      </c>
      <c r="H13" s="15">
        <f t="shared" si="5"/>
        <v>5659</v>
      </c>
      <c r="I13" s="39" t="s">
        <v>109</v>
      </c>
      <c r="J13" s="40" t="s">
        <v>110</v>
      </c>
      <c r="K13" s="39">
        <v>5659</v>
      </c>
      <c r="L13" s="39" t="s">
        <v>111</v>
      </c>
      <c r="M13" s="40" t="s">
        <v>112</v>
      </c>
      <c r="N13" s="40" t="s">
        <v>43</v>
      </c>
      <c r="O13" s="41" t="s">
        <v>113</v>
      </c>
      <c r="P13" s="42" t="s">
        <v>114</v>
      </c>
    </row>
    <row r="14" spans="1:16" ht="12.75" customHeight="1" thickBot="1">
      <c r="A14" s="15" t="str">
        <f t="shared" si="0"/>
        <v>OEJV 0160 </v>
      </c>
      <c r="B14" s="6" t="str">
        <f t="shared" si="1"/>
        <v>I</v>
      </c>
      <c r="C14" s="15">
        <f t="shared" si="2"/>
        <v>56488.557849999997</v>
      </c>
      <c r="D14" s="21" t="str">
        <f t="shared" si="3"/>
        <v>vis</v>
      </c>
      <c r="E14" s="38">
        <f>VLOOKUP(C14,Active!C$21:E$973,3,FALSE)</f>
        <v>2716.9908699884554</v>
      </c>
      <c r="F14" s="6" t="s">
        <v>51</v>
      </c>
      <c r="G14" s="21" t="str">
        <f t="shared" si="4"/>
        <v>56488.55785</v>
      </c>
      <c r="H14" s="15">
        <f t="shared" si="5"/>
        <v>6131</v>
      </c>
      <c r="I14" s="39" t="s">
        <v>115</v>
      </c>
      <c r="J14" s="40" t="s">
        <v>116</v>
      </c>
      <c r="K14" s="39">
        <v>6131</v>
      </c>
      <c r="L14" s="39" t="s">
        <v>117</v>
      </c>
      <c r="M14" s="40" t="s">
        <v>112</v>
      </c>
      <c r="N14" s="40" t="s">
        <v>118</v>
      </c>
      <c r="O14" s="41" t="s">
        <v>119</v>
      </c>
      <c r="P14" s="42" t="s">
        <v>114</v>
      </c>
    </row>
    <row r="15" spans="1:16" ht="12.75" customHeight="1" thickBot="1">
      <c r="A15" s="15" t="str">
        <f t="shared" si="0"/>
        <v> HA 113.71 </v>
      </c>
      <c r="B15" s="6" t="str">
        <f t="shared" si="1"/>
        <v>II</v>
      </c>
      <c r="C15" s="15">
        <f t="shared" si="2"/>
        <v>27012.59</v>
      </c>
      <c r="D15" s="21" t="str">
        <f t="shared" si="3"/>
        <v>vis</v>
      </c>
      <c r="E15" s="38">
        <f>VLOOKUP(C15,Active!C$21:E$973,3,FALSE)</f>
        <v>-39417.959263023527</v>
      </c>
      <c r="F15" s="6" t="s">
        <v>51</v>
      </c>
      <c r="G15" s="21" t="str">
        <f t="shared" si="4"/>
        <v>27012.590</v>
      </c>
      <c r="H15" s="15">
        <f t="shared" si="5"/>
        <v>-36005.5</v>
      </c>
      <c r="I15" s="39" t="s">
        <v>54</v>
      </c>
      <c r="J15" s="40" t="s">
        <v>55</v>
      </c>
      <c r="K15" s="39">
        <v>-36005.5</v>
      </c>
      <c r="L15" s="39" t="s">
        <v>56</v>
      </c>
      <c r="M15" s="40" t="s">
        <v>53</v>
      </c>
      <c r="N15" s="40"/>
      <c r="O15" s="41" t="s">
        <v>57</v>
      </c>
      <c r="P15" s="41" t="s">
        <v>58</v>
      </c>
    </row>
    <row r="16" spans="1:16" ht="12.75" customHeight="1" thickBot="1">
      <c r="A16" s="15" t="str">
        <f t="shared" si="0"/>
        <v> AAC 2.77 </v>
      </c>
      <c r="B16" s="6" t="str">
        <f t="shared" si="1"/>
        <v>II</v>
      </c>
      <c r="C16" s="15">
        <f t="shared" si="2"/>
        <v>27690.465</v>
      </c>
      <c r="D16" s="21" t="str">
        <f t="shared" si="3"/>
        <v>vis</v>
      </c>
      <c r="E16" s="38">
        <f>VLOOKUP(C16,Active!C$21:E$973,3,FALSE)</f>
        <v>-38448.958704101577</v>
      </c>
      <c r="F16" s="6" t="s">
        <v>51</v>
      </c>
      <c r="G16" s="21" t="str">
        <f t="shared" si="4"/>
        <v>27690.465</v>
      </c>
      <c r="H16" s="15">
        <f t="shared" si="5"/>
        <v>-35036.5</v>
      </c>
      <c r="I16" s="39" t="s">
        <v>59</v>
      </c>
      <c r="J16" s="40" t="s">
        <v>60</v>
      </c>
      <c r="K16" s="39">
        <v>-35036.5</v>
      </c>
      <c r="L16" s="39" t="s">
        <v>61</v>
      </c>
      <c r="M16" s="40" t="s">
        <v>62</v>
      </c>
      <c r="N16" s="40"/>
      <c r="O16" s="41" t="s">
        <v>63</v>
      </c>
      <c r="P16" s="41" t="s">
        <v>64</v>
      </c>
    </row>
    <row r="17" spans="1:16" ht="12.75" customHeight="1" thickBot="1">
      <c r="A17" s="15" t="str">
        <f t="shared" si="0"/>
        <v> CTAD 40.1 </v>
      </c>
      <c r="B17" s="6" t="str">
        <f t="shared" si="1"/>
        <v>II</v>
      </c>
      <c r="C17" s="15">
        <f t="shared" si="2"/>
        <v>28757.29</v>
      </c>
      <c r="D17" s="21" t="str">
        <f t="shared" si="3"/>
        <v>vis</v>
      </c>
      <c r="E17" s="38">
        <f>VLOOKUP(C17,Active!C$21:E$973,3,FALSE)</f>
        <v>-36923.966601911772</v>
      </c>
      <c r="F17" s="6" t="s">
        <v>51</v>
      </c>
      <c r="G17" s="21" t="str">
        <f t="shared" si="4"/>
        <v>28757.290</v>
      </c>
      <c r="H17" s="15">
        <f t="shared" si="5"/>
        <v>-33511.5</v>
      </c>
      <c r="I17" s="39" t="s">
        <v>65</v>
      </c>
      <c r="J17" s="40" t="s">
        <v>66</v>
      </c>
      <c r="K17" s="39">
        <v>-33511.5</v>
      </c>
      <c r="L17" s="39" t="s">
        <v>67</v>
      </c>
      <c r="M17" s="40" t="s">
        <v>62</v>
      </c>
      <c r="N17" s="40"/>
      <c r="O17" s="41" t="s">
        <v>68</v>
      </c>
      <c r="P17" s="41" t="s">
        <v>69</v>
      </c>
    </row>
    <row r="18" spans="1:16" ht="12.75" customHeight="1" thickBot="1">
      <c r="A18" s="15" t="str">
        <f t="shared" si="0"/>
        <v> CTAD 40.1 </v>
      </c>
      <c r="B18" s="6" t="str">
        <f t="shared" si="1"/>
        <v>II</v>
      </c>
      <c r="C18" s="15">
        <f t="shared" si="2"/>
        <v>28806.275000000001</v>
      </c>
      <c r="D18" s="21" t="str">
        <f t="shared" si="3"/>
        <v>vis</v>
      </c>
      <c r="E18" s="38">
        <f>VLOOKUP(C18,Active!C$21:E$973,3,FALSE)</f>
        <v>-36853.944116381565</v>
      </c>
      <c r="F18" s="6" t="s">
        <v>51</v>
      </c>
      <c r="G18" s="21" t="str">
        <f t="shared" si="4"/>
        <v>28806.275</v>
      </c>
      <c r="H18" s="15">
        <f t="shared" si="5"/>
        <v>-33441.5</v>
      </c>
      <c r="I18" s="39" t="s">
        <v>70</v>
      </c>
      <c r="J18" s="40" t="s">
        <v>71</v>
      </c>
      <c r="K18" s="39">
        <v>-33441.5</v>
      </c>
      <c r="L18" s="39" t="s">
        <v>72</v>
      </c>
      <c r="M18" s="40" t="s">
        <v>62</v>
      </c>
      <c r="N18" s="40"/>
      <c r="O18" s="41" t="s">
        <v>68</v>
      </c>
      <c r="P18" s="41" t="s">
        <v>69</v>
      </c>
    </row>
    <row r="19" spans="1:16" ht="12.75" customHeight="1" thickBot="1">
      <c r="A19" s="15" t="str">
        <f t="shared" si="0"/>
        <v> CTAD 40.1 </v>
      </c>
      <c r="B19" s="6" t="str">
        <f t="shared" si="1"/>
        <v>II</v>
      </c>
      <c r="C19" s="15">
        <f t="shared" si="2"/>
        <v>28860.14</v>
      </c>
      <c r="D19" s="21" t="str">
        <f t="shared" si="3"/>
        <v>vis</v>
      </c>
      <c r="E19" s="38">
        <f>VLOOKUP(C19,Active!C$21:E$973,3,FALSE)</f>
        <v>-36776.945827454656</v>
      </c>
      <c r="F19" s="6" t="s">
        <v>51</v>
      </c>
      <c r="G19" s="21" t="str">
        <f t="shared" si="4"/>
        <v>28860.140</v>
      </c>
      <c r="H19" s="15">
        <f t="shared" si="5"/>
        <v>-33364.5</v>
      </c>
      <c r="I19" s="39" t="s">
        <v>73</v>
      </c>
      <c r="J19" s="40" t="s">
        <v>74</v>
      </c>
      <c r="K19" s="39">
        <v>-33364.5</v>
      </c>
      <c r="L19" s="39" t="s">
        <v>75</v>
      </c>
      <c r="M19" s="40" t="s">
        <v>62</v>
      </c>
      <c r="N19" s="40"/>
      <c r="O19" s="41" t="s">
        <v>68</v>
      </c>
      <c r="P19" s="41" t="s">
        <v>69</v>
      </c>
    </row>
    <row r="20" spans="1:16" ht="12.75" customHeight="1" thickBot="1">
      <c r="A20" s="15" t="str">
        <f t="shared" si="0"/>
        <v> CTAD 40.1 </v>
      </c>
      <c r="B20" s="6" t="str">
        <f t="shared" si="1"/>
        <v>II</v>
      </c>
      <c r="C20" s="15">
        <f t="shared" si="2"/>
        <v>28867.14</v>
      </c>
      <c r="D20" s="21" t="str">
        <f t="shared" si="3"/>
        <v>vis</v>
      </c>
      <c r="E20" s="38">
        <f>VLOOKUP(C20,Active!C$21:E$973,3,FALSE)</f>
        <v>-36766.939552090531</v>
      </c>
      <c r="F20" s="6" t="s">
        <v>51</v>
      </c>
      <c r="G20" s="21" t="str">
        <f t="shared" si="4"/>
        <v>28867.140</v>
      </c>
      <c r="H20" s="15">
        <f t="shared" si="5"/>
        <v>-33354.5</v>
      </c>
      <c r="I20" s="39" t="s">
        <v>76</v>
      </c>
      <c r="J20" s="40" t="s">
        <v>77</v>
      </c>
      <c r="K20" s="39">
        <v>-33354.5</v>
      </c>
      <c r="L20" s="39" t="s">
        <v>78</v>
      </c>
      <c r="M20" s="40" t="s">
        <v>62</v>
      </c>
      <c r="N20" s="40"/>
      <c r="O20" s="41" t="s">
        <v>68</v>
      </c>
      <c r="P20" s="41" t="s">
        <v>69</v>
      </c>
    </row>
    <row r="21" spans="1:16" ht="12.75" customHeight="1" thickBot="1">
      <c r="A21" s="15" t="str">
        <f t="shared" si="0"/>
        <v> CTAD 40.1 </v>
      </c>
      <c r="B21" s="6" t="str">
        <f t="shared" si="1"/>
        <v>II</v>
      </c>
      <c r="C21" s="15">
        <f t="shared" si="2"/>
        <v>28874.118999999999</v>
      </c>
      <c r="D21" s="21" t="str">
        <f t="shared" si="3"/>
        <v>vis</v>
      </c>
      <c r="E21" s="38">
        <f>VLOOKUP(C21,Active!C$21:E$973,3,FALSE)</f>
        <v>-36756.963295552501</v>
      </c>
      <c r="F21" s="6" t="s">
        <v>51</v>
      </c>
      <c r="G21" s="21" t="str">
        <f t="shared" si="4"/>
        <v>28874.119</v>
      </c>
      <c r="H21" s="15">
        <f t="shared" si="5"/>
        <v>-33344.5</v>
      </c>
      <c r="I21" s="39" t="s">
        <v>79</v>
      </c>
      <c r="J21" s="40" t="s">
        <v>80</v>
      </c>
      <c r="K21" s="39">
        <v>-33344.5</v>
      </c>
      <c r="L21" s="39" t="s">
        <v>81</v>
      </c>
      <c r="M21" s="40" t="s">
        <v>62</v>
      </c>
      <c r="N21" s="40"/>
      <c r="O21" s="41" t="s">
        <v>68</v>
      </c>
      <c r="P21" s="41" t="s">
        <v>69</v>
      </c>
    </row>
    <row r="22" spans="1:16" ht="12.75" customHeight="1" thickBot="1">
      <c r="A22" s="15" t="str">
        <f t="shared" si="0"/>
        <v> CTAD 40.1 </v>
      </c>
      <c r="B22" s="6" t="str">
        <f t="shared" si="1"/>
        <v>II</v>
      </c>
      <c r="C22" s="15">
        <f t="shared" si="2"/>
        <v>29113.37</v>
      </c>
      <c r="D22" s="21" t="str">
        <f t="shared" si="3"/>
        <v>vis</v>
      </c>
      <c r="E22" s="38">
        <f>VLOOKUP(C22,Active!C$21:E$973,3,FALSE)</f>
        <v>-36414.961668818025</v>
      </c>
      <c r="F22" s="6" t="s">
        <v>51</v>
      </c>
      <c r="G22" s="21" t="str">
        <f t="shared" si="4"/>
        <v>29113.370</v>
      </c>
      <c r="H22" s="15">
        <f t="shared" si="5"/>
        <v>-33002.5</v>
      </c>
      <c r="I22" s="39" t="s">
        <v>82</v>
      </c>
      <c r="J22" s="40" t="s">
        <v>83</v>
      </c>
      <c r="K22" s="39">
        <v>-33002.5</v>
      </c>
      <c r="L22" s="39" t="s">
        <v>84</v>
      </c>
      <c r="M22" s="40" t="s">
        <v>62</v>
      </c>
      <c r="N22" s="40"/>
      <c r="O22" s="41" t="s">
        <v>68</v>
      </c>
      <c r="P22" s="41" t="s">
        <v>69</v>
      </c>
    </row>
    <row r="23" spans="1:16" ht="12.75" customHeight="1" thickBot="1">
      <c r="A23" s="15" t="str">
        <f t="shared" si="0"/>
        <v> CTAD 40.1 </v>
      </c>
      <c r="B23" s="6" t="str">
        <f t="shared" si="1"/>
        <v>II</v>
      </c>
      <c r="C23" s="15">
        <f t="shared" si="2"/>
        <v>29134.37</v>
      </c>
      <c r="D23" s="21" t="str">
        <f t="shared" si="3"/>
        <v>vis</v>
      </c>
      <c r="E23" s="38">
        <f>VLOOKUP(C23,Active!C$21:E$973,3,FALSE)</f>
        <v>-36384.942842725657</v>
      </c>
      <c r="F23" s="6" t="s">
        <v>51</v>
      </c>
      <c r="G23" s="21" t="str">
        <f t="shared" si="4"/>
        <v>29134.370</v>
      </c>
      <c r="H23" s="15">
        <f t="shared" si="5"/>
        <v>-32972.5</v>
      </c>
      <c r="I23" s="39" t="s">
        <v>85</v>
      </c>
      <c r="J23" s="40" t="s">
        <v>86</v>
      </c>
      <c r="K23" s="39">
        <v>-32972.5</v>
      </c>
      <c r="L23" s="39" t="s">
        <v>87</v>
      </c>
      <c r="M23" s="40" t="s">
        <v>62</v>
      </c>
      <c r="N23" s="40"/>
      <c r="O23" s="41" t="s">
        <v>68</v>
      </c>
      <c r="P23" s="41" t="s">
        <v>69</v>
      </c>
    </row>
    <row r="24" spans="1:16" ht="12.75" customHeight="1" thickBot="1">
      <c r="A24" s="15" t="str">
        <f t="shared" si="0"/>
        <v> IODE 4.1.167 </v>
      </c>
      <c r="B24" s="6" t="str">
        <f t="shared" si="1"/>
        <v>II</v>
      </c>
      <c r="C24" s="15">
        <f t="shared" si="2"/>
        <v>30615.317999999999</v>
      </c>
      <c r="D24" s="21" t="str">
        <f t="shared" si="3"/>
        <v>vis</v>
      </c>
      <c r="E24" s="38">
        <f>VLOOKUP(C24,Active!C$21:E$973,3,FALSE)</f>
        <v>-34267.975201590722</v>
      </c>
      <c r="F24" s="6" t="s">
        <v>51</v>
      </c>
      <c r="G24" s="21" t="str">
        <f t="shared" si="4"/>
        <v>30615.318</v>
      </c>
      <c r="H24" s="15">
        <f t="shared" si="5"/>
        <v>-30855.5</v>
      </c>
      <c r="I24" s="39" t="s">
        <v>88</v>
      </c>
      <c r="J24" s="40" t="s">
        <v>89</v>
      </c>
      <c r="K24" s="39">
        <v>-30855.5</v>
      </c>
      <c r="L24" s="39" t="s">
        <v>90</v>
      </c>
      <c r="M24" s="40" t="s">
        <v>62</v>
      </c>
      <c r="N24" s="40"/>
      <c r="O24" s="41" t="s">
        <v>91</v>
      </c>
      <c r="P24" s="41" t="s">
        <v>92</v>
      </c>
    </row>
    <row r="25" spans="1:16" ht="12.75" customHeight="1" thickBot="1">
      <c r="A25" s="15" t="str">
        <f t="shared" si="0"/>
        <v> BSAO 13.25 </v>
      </c>
      <c r="B25" s="6" t="str">
        <f t="shared" si="1"/>
        <v>II</v>
      </c>
      <c r="C25" s="15">
        <f t="shared" si="2"/>
        <v>31955.671999999999</v>
      </c>
      <c r="D25" s="21" t="str">
        <f t="shared" si="3"/>
        <v>vis</v>
      </c>
      <c r="E25" s="38">
        <f>VLOOKUP(C25,Active!C$21:E$973,3,FALSE)</f>
        <v>-32351.982171676245</v>
      </c>
      <c r="F25" s="6" t="s">
        <v>51</v>
      </c>
      <c r="G25" s="21" t="str">
        <f t="shared" si="4"/>
        <v>31955.672</v>
      </c>
      <c r="H25" s="15">
        <f t="shared" si="5"/>
        <v>-28939.5</v>
      </c>
      <c r="I25" s="39" t="s">
        <v>93</v>
      </c>
      <c r="J25" s="40" t="s">
        <v>94</v>
      </c>
      <c r="K25" s="39">
        <v>-28939.5</v>
      </c>
      <c r="L25" s="39" t="s">
        <v>95</v>
      </c>
      <c r="M25" s="40" t="s">
        <v>53</v>
      </c>
      <c r="N25" s="40"/>
      <c r="O25" s="41" t="s">
        <v>96</v>
      </c>
      <c r="P25" s="41" t="s">
        <v>97</v>
      </c>
    </row>
    <row r="26" spans="1:16" ht="12.75" customHeight="1" thickBot="1">
      <c r="A26" s="15" t="str">
        <f t="shared" si="0"/>
        <v> BSAO 13.25 </v>
      </c>
      <c r="B26" s="6" t="str">
        <f t="shared" si="1"/>
        <v>I</v>
      </c>
      <c r="C26" s="15">
        <f t="shared" si="2"/>
        <v>34627.29</v>
      </c>
      <c r="D26" s="21" t="str">
        <f t="shared" si="3"/>
        <v>vis</v>
      </c>
      <c r="E26" s="38">
        <f>VLOOKUP(C26,Active!C$21:E$973,3,FALSE)</f>
        <v>-28532.989975141558</v>
      </c>
      <c r="F26" s="6" t="s">
        <v>51</v>
      </c>
      <c r="G26" s="21" t="str">
        <f t="shared" si="4"/>
        <v>34627.290</v>
      </c>
      <c r="H26" s="15">
        <f t="shared" si="5"/>
        <v>-25120</v>
      </c>
      <c r="I26" s="39" t="s">
        <v>98</v>
      </c>
      <c r="J26" s="40" t="s">
        <v>99</v>
      </c>
      <c r="K26" s="39">
        <v>-25120</v>
      </c>
      <c r="L26" s="39" t="s">
        <v>100</v>
      </c>
      <c r="M26" s="40" t="s">
        <v>53</v>
      </c>
      <c r="N26" s="40"/>
      <c r="O26" s="41" t="s">
        <v>96</v>
      </c>
      <c r="P26" s="41" t="s">
        <v>97</v>
      </c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</sheetData>
  <phoneticPr fontId="8" type="noConversion"/>
  <hyperlinks>
    <hyperlink ref="A3" r:id="rId1" xr:uid="{00000000-0004-0000-0100-000000000000}"/>
    <hyperlink ref="P13" r:id="rId2" display="http://var.astro.cz/oejv/issues/oejv0160.pdf" xr:uid="{00000000-0004-0000-0100-000001000000}"/>
    <hyperlink ref="P14" r:id="rId3" display="http://var.astro.cz/oejv/issues/oejv0160.pdf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2024-07-26T06:18:29Z</dcterms:modified>
</cp:coreProperties>
</file>