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7F5E1C3-6019-424A-BF9D-15987F6C2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3" i="1" l="1"/>
  <c r="F93" i="1" s="1"/>
  <c r="G93" i="1" s="1"/>
  <c r="K93" i="1" s="1"/>
  <c r="Q93" i="1"/>
  <c r="Q92" i="1"/>
  <c r="D9" i="1"/>
  <c r="C9" i="1"/>
  <c r="C7" i="1"/>
  <c r="C8" i="1"/>
  <c r="E87" i="1"/>
  <c r="F87" i="1"/>
  <c r="G87" i="1"/>
  <c r="I87" i="1"/>
  <c r="E40" i="1"/>
  <c r="F40" i="1"/>
  <c r="E33" i="1"/>
  <c r="F33" i="1"/>
  <c r="E38" i="1"/>
  <c r="F38" i="1"/>
  <c r="E42" i="1"/>
  <c r="F42" i="1"/>
  <c r="E50" i="1"/>
  <c r="F50" i="1"/>
  <c r="E68" i="1"/>
  <c r="F68" i="1"/>
  <c r="E76" i="1"/>
  <c r="F76" i="1"/>
  <c r="E77" i="1"/>
  <c r="F77" i="1"/>
  <c r="E79" i="1"/>
  <c r="F79" i="1"/>
  <c r="G79" i="1"/>
  <c r="K79" i="1"/>
  <c r="E81" i="1"/>
  <c r="F81" i="1"/>
  <c r="G81" i="1"/>
  <c r="K81" i="1"/>
  <c r="E85" i="1"/>
  <c r="F85" i="1"/>
  <c r="E44" i="1"/>
  <c r="F44" i="1"/>
  <c r="G44" i="1"/>
  <c r="I44" i="1"/>
  <c r="E24" i="1"/>
  <c r="F24" i="1"/>
  <c r="G24" i="1"/>
  <c r="I24" i="1"/>
  <c r="E21" i="1"/>
  <c r="F21" i="1"/>
  <c r="E23" i="1"/>
  <c r="F23" i="1"/>
  <c r="E26" i="1"/>
  <c r="F26" i="1"/>
  <c r="G26" i="1"/>
  <c r="I26" i="1"/>
  <c r="E29" i="1"/>
  <c r="F29" i="1"/>
  <c r="E30" i="1"/>
  <c r="F30" i="1"/>
  <c r="G30" i="1"/>
  <c r="I30" i="1"/>
  <c r="E32" i="1"/>
  <c r="F32" i="1"/>
  <c r="G32" i="1"/>
  <c r="I32" i="1"/>
  <c r="E46" i="1"/>
  <c r="F46" i="1"/>
  <c r="G46" i="1"/>
  <c r="I46" i="1"/>
  <c r="E47" i="1"/>
  <c r="F47" i="1"/>
  <c r="G47" i="1"/>
  <c r="I47" i="1"/>
  <c r="E51" i="1"/>
  <c r="F51" i="1"/>
  <c r="G51" i="1"/>
  <c r="I51" i="1"/>
  <c r="E52" i="1"/>
  <c r="F52" i="1"/>
  <c r="G52" i="1"/>
  <c r="I52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3" i="1"/>
  <c r="F63" i="1"/>
  <c r="G63" i="1"/>
  <c r="I63" i="1"/>
  <c r="E64" i="1"/>
  <c r="F64" i="1"/>
  <c r="G64" i="1"/>
  <c r="I64" i="1"/>
  <c r="E84" i="1"/>
  <c r="F84" i="1"/>
  <c r="G84" i="1"/>
  <c r="I84" i="1"/>
  <c r="E86" i="1"/>
  <c r="F86" i="1"/>
  <c r="E70" i="1"/>
  <c r="F70" i="1"/>
  <c r="G70" i="1"/>
  <c r="I70" i="1"/>
  <c r="E54" i="1"/>
  <c r="F54" i="1"/>
  <c r="G54" i="1"/>
  <c r="H54" i="1"/>
  <c r="E67" i="1"/>
  <c r="F67" i="1"/>
  <c r="G67" i="1"/>
  <c r="E65" i="1"/>
  <c r="F65" i="1"/>
  <c r="G65" i="1"/>
  <c r="J65" i="1"/>
  <c r="E69" i="1"/>
  <c r="F69" i="1"/>
  <c r="G69" i="1"/>
  <c r="J69" i="1"/>
  <c r="E88" i="1"/>
  <c r="F88" i="1"/>
  <c r="E66" i="1"/>
  <c r="F66" i="1"/>
  <c r="G66" i="1"/>
  <c r="I66" i="1"/>
  <c r="Q90" i="1"/>
  <c r="Q91" i="1"/>
  <c r="Q8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1" i="1"/>
  <c r="Q63" i="1"/>
  <c r="Q64" i="1"/>
  <c r="Q68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G16" i="2"/>
  <c r="C16" i="2"/>
  <c r="E16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G68" i="2"/>
  <c r="C68" i="2"/>
  <c r="E68" i="2"/>
  <c r="G67" i="2"/>
  <c r="C67" i="2"/>
  <c r="G66" i="2"/>
  <c r="C66" i="2"/>
  <c r="E66" i="2"/>
  <c r="G65" i="2"/>
  <c r="C65" i="2"/>
  <c r="G64" i="2"/>
  <c r="C64" i="2"/>
  <c r="E64" i="2"/>
  <c r="G63" i="2"/>
  <c r="C63" i="2"/>
  <c r="E63" i="2"/>
  <c r="G62" i="2"/>
  <c r="C62" i="2"/>
  <c r="G61" i="2"/>
  <c r="C61" i="2"/>
  <c r="G60" i="2"/>
  <c r="C60" i="2"/>
  <c r="G59" i="2"/>
  <c r="C59" i="2"/>
  <c r="G15" i="2"/>
  <c r="C15" i="2"/>
  <c r="E15" i="2"/>
  <c r="G14" i="2"/>
  <c r="C14" i="2"/>
  <c r="E14" i="2"/>
  <c r="G58" i="2"/>
  <c r="C58" i="2"/>
  <c r="E58" i="2"/>
  <c r="G13" i="2"/>
  <c r="C13" i="2"/>
  <c r="E13" i="2"/>
  <c r="G12" i="2"/>
  <c r="C12" i="2"/>
  <c r="E12" i="2"/>
  <c r="G11" i="2"/>
  <c r="C11" i="2"/>
  <c r="E11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G37" i="2"/>
  <c r="C37" i="2"/>
  <c r="E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G17" i="2"/>
  <c r="C17" i="2"/>
  <c r="E17" i="2"/>
  <c r="H16" i="2"/>
  <c r="D16" i="2"/>
  <c r="B16" i="2"/>
  <c r="A1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15" i="2"/>
  <c r="D15" i="2"/>
  <c r="B15" i="2"/>
  <c r="A15" i="2"/>
  <c r="H14" i="2"/>
  <c r="D14" i="2"/>
  <c r="B14" i="2"/>
  <c r="A14" i="2"/>
  <c r="H58" i="2"/>
  <c r="D58" i="2"/>
  <c r="B58" i="2"/>
  <c r="A58" i="2"/>
  <c r="H13" i="2"/>
  <c r="D13" i="2"/>
  <c r="B13" i="2"/>
  <c r="A13" i="2"/>
  <c r="H12" i="2"/>
  <c r="D12" i="2"/>
  <c r="B12" i="2"/>
  <c r="A12" i="2"/>
  <c r="H11" i="2"/>
  <c r="D11" i="2"/>
  <c r="B11" i="2"/>
  <c r="A11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66" i="1"/>
  <c r="Q88" i="1"/>
  <c r="F16" i="1"/>
  <c r="F17" i="1" s="1"/>
  <c r="C17" i="1"/>
  <c r="Q71" i="1"/>
  <c r="Q62" i="1"/>
  <c r="Q40" i="1"/>
  <c r="Q70" i="1"/>
  <c r="Q65" i="1"/>
  <c r="K67" i="1"/>
  <c r="Q67" i="1"/>
  <c r="Q69" i="1"/>
  <c r="Q54" i="1"/>
  <c r="E69" i="2"/>
  <c r="E48" i="2"/>
  <c r="G88" i="1"/>
  <c r="J88" i="1"/>
  <c r="E27" i="2"/>
  <c r="E55" i="2"/>
  <c r="E23" i="2"/>
  <c r="E18" i="2"/>
  <c r="E24" i="2"/>
  <c r="E73" i="1"/>
  <c r="E45" i="1"/>
  <c r="F45" i="1"/>
  <c r="G45" i="1"/>
  <c r="I45" i="1"/>
  <c r="E35" i="1"/>
  <c r="F35" i="1"/>
  <c r="G35" i="1"/>
  <c r="I35" i="1"/>
  <c r="E62" i="1"/>
  <c r="F62" i="1"/>
  <c r="E92" i="1"/>
  <c r="F92" i="1"/>
  <c r="G92" i="1"/>
  <c r="K92" i="1"/>
  <c r="G29" i="1"/>
  <c r="I29" i="1"/>
  <c r="E25" i="1"/>
  <c r="F25" i="1"/>
  <c r="G25" i="1"/>
  <c r="I25" i="1"/>
  <c r="G80" i="1"/>
  <c r="K80" i="1"/>
  <c r="E78" i="1"/>
  <c r="F78" i="1"/>
  <c r="G78" i="1"/>
  <c r="I78" i="1"/>
  <c r="G72" i="1"/>
  <c r="I72" i="1"/>
  <c r="E61" i="1"/>
  <c r="F61" i="1"/>
  <c r="G61" i="1"/>
  <c r="I61" i="1"/>
  <c r="E41" i="1"/>
  <c r="F41" i="1"/>
  <c r="G41" i="1"/>
  <c r="I41" i="1"/>
  <c r="E89" i="1"/>
  <c r="F89" i="1"/>
  <c r="G86" i="1"/>
  <c r="K86" i="1"/>
  <c r="G23" i="1"/>
  <c r="I23" i="1"/>
  <c r="E28" i="1"/>
  <c r="F28" i="1"/>
  <c r="G28" i="1"/>
  <c r="I28" i="1"/>
  <c r="E83" i="1"/>
  <c r="F83" i="1"/>
  <c r="G83" i="1"/>
  <c r="I83" i="1"/>
  <c r="G77" i="1"/>
  <c r="I77" i="1"/>
  <c r="E75" i="1"/>
  <c r="F75" i="1"/>
  <c r="G75" i="1"/>
  <c r="I75" i="1"/>
  <c r="G53" i="1"/>
  <c r="I53" i="1"/>
  <c r="E49" i="1"/>
  <c r="F49" i="1"/>
  <c r="G49" i="1"/>
  <c r="I49" i="1"/>
  <c r="G39" i="1"/>
  <c r="I39" i="1"/>
  <c r="E37" i="1"/>
  <c r="E71" i="1"/>
  <c r="F71" i="1"/>
  <c r="G71" i="1"/>
  <c r="E22" i="1"/>
  <c r="F22" i="1"/>
  <c r="G22" i="1"/>
  <c r="I22" i="1"/>
  <c r="G82" i="1"/>
  <c r="K82" i="1"/>
  <c r="E80" i="1"/>
  <c r="F80" i="1"/>
  <c r="E72" i="1"/>
  <c r="F72" i="1"/>
  <c r="E43" i="1"/>
  <c r="F43" i="1"/>
  <c r="G43" i="1"/>
  <c r="I43" i="1"/>
  <c r="G36" i="1"/>
  <c r="I36" i="1"/>
  <c r="E34" i="1"/>
  <c r="F34" i="1"/>
  <c r="G34" i="1"/>
  <c r="I34" i="1"/>
  <c r="E91" i="1"/>
  <c r="F91" i="1"/>
  <c r="U91" i="1"/>
  <c r="G89" i="1"/>
  <c r="K89" i="1"/>
  <c r="G85" i="1"/>
  <c r="I85" i="1"/>
  <c r="G68" i="1"/>
  <c r="I68" i="1"/>
  <c r="E53" i="1"/>
  <c r="F53" i="1"/>
  <c r="G42" i="1"/>
  <c r="I42" i="1"/>
  <c r="E39" i="1"/>
  <c r="F39" i="1"/>
  <c r="G33" i="1"/>
  <c r="I33" i="1"/>
  <c r="G40" i="1"/>
  <c r="J40" i="1"/>
  <c r="E90" i="1"/>
  <c r="F90" i="1"/>
  <c r="G90" i="1"/>
  <c r="K90" i="1"/>
  <c r="E31" i="1"/>
  <c r="F31" i="1"/>
  <c r="G31" i="1"/>
  <c r="I31" i="1"/>
  <c r="G21" i="1"/>
  <c r="I21" i="1"/>
  <c r="E27" i="1"/>
  <c r="F27" i="1"/>
  <c r="G27" i="1"/>
  <c r="I27" i="1"/>
  <c r="E82" i="1"/>
  <c r="F82" i="1"/>
  <c r="G76" i="1"/>
  <c r="I76" i="1"/>
  <c r="E74" i="1"/>
  <c r="F74" i="1"/>
  <c r="G74" i="1"/>
  <c r="I74" i="1"/>
  <c r="G50" i="1"/>
  <c r="I50" i="1"/>
  <c r="E48" i="1"/>
  <c r="F48" i="1"/>
  <c r="G48" i="1"/>
  <c r="I48" i="1"/>
  <c r="G38" i="1"/>
  <c r="I38" i="1"/>
  <c r="E36" i="1"/>
  <c r="F36" i="1"/>
  <c r="I71" i="1"/>
  <c r="E44" i="2"/>
  <c r="E59" i="2"/>
  <c r="E62" i="2"/>
  <c r="E31" i="2"/>
  <c r="E40" i="2"/>
  <c r="E43" i="2"/>
  <c r="E21" i="2"/>
  <c r="E38" i="2"/>
  <c r="E67" i="2"/>
  <c r="E32" i="2"/>
  <c r="F73" i="1"/>
  <c r="G73" i="1"/>
  <c r="E60" i="2"/>
  <c r="F37" i="1"/>
  <c r="G37" i="1"/>
  <c r="I37" i="1"/>
  <c r="E33" i="2"/>
  <c r="E61" i="2"/>
  <c r="E70" i="2"/>
  <c r="E36" i="2"/>
  <c r="E35" i="2"/>
  <c r="E65" i="2"/>
  <c r="E30" i="2"/>
  <c r="I73" i="1"/>
  <c r="C11" i="1"/>
  <c r="C12" i="1"/>
  <c r="O93" i="1" l="1"/>
  <c r="C16" i="1"/>
  <c r="D18" i="1" s="1"/>
  <c r="O37" i="1"/>
  <c r="O41" i="1"/>
  <c r="O71" i="1"/>
  <c r="O88" i="1"/>
  <c r="O72" i="1"/>
  <c r="O80" i="1"/>
  <c r="O73" i="1"/>
  <c r="O51" i="1"/>
  <c r="O55" i="1"/>
  <c r="O86" i="1"/>
  <c r="O49" i="1"/>
  <c r="O44" i="1"/>
  <c r="O27" i="1"/>
  <c r="O67" i="1"/>
  <c r="O76" i="1"/>
  <c r="O40" i="1"/>
  <c r="O77" i="1"/>
  <c r="O60" i="1"/>
  <c r="O64" i="1"/>
  <c r="O63" i="1"/>
  <c r="O58" i="1"/>
  <c r="O52" i="1"/>
  <c r="O35" i="1"/>
  <c r="O91" i="1"/>
  <c r="O25" i="1"/>
  <c r="O70" i="1"/>
  <c r="O84" i="1"/>
  <c r="O81" i="1"/>
  <c r="O74" i="1"/>
  <c r="O59" i="1"/>
  <c r="O46" i="1"/>
  <c r="O82" i="1"/>
  <c r="O61" i="1"/>
  <c r="O47" i="1"/>
  <c r="O22" i="1"/>
  <c r="O33" i="1"/>
  <c r="O92" i="1"/>
  <c r="O87" i="1"/>
  <c r="C15" i="1"/>
  <c r="O78" i="1"/>
  <c r="O29" i="1"/>
  <c r="O39" i="1"/>
  <c r="O90" i="1"/>
  <c r="O68" i="1"/>
  <c r="O56" i="1"/>
  <c r="O30" i="1"/>
  <c r="O42" i="1"/>
  <c r="O28" i="1"/>
  <c r="O89" i="1"/>
  <c r="O26" i="1"/>
  <c r="O85" i="1"/>
  <c r="O32" i="1"/>
  <c r="O62" i="1"/>
  <c r="O21" i="1"/>
  <c r="O75" i="1"/>
  <c r="O79" i="1"/>
  <c r="O38" i="1"/>
  <c r="O45" i="1"/>
  <c r="O36" i="1"/>
  <c r="O23" i="1"/>
  <c r="O34" i="1"/>
  <c r="O69" i="1"/>
  <c r="O54" i="1"/>
  <c r="O57" i="1"/>
  <c r="O24" i="1"/>
  <c r="O65" i="1"/>
  <c r="O83" i="1"/>
  <c r="O50" i="1"/>
  <c r="O53" i="1"/>
  <c r="O48" i="1"/>
  <c r="O31" i="1"/>
  <c r="O43" i="1"/>
  <c r="O66" i="1"/>
  <c r="C18" i="1" l="1"/>
  <c r="F18" i="1"/>
  <c r="F19" i="1" s="1"/>
</calcChain>
</file>

<file path=xl/sharedStrings.xml><?xml version="1.0" encoding="utf-8"?>
<sst xmlns="http://schemas.openxmlformats.org/spreadsheetml/2006/main" count="748" uniqueCount="308">
  <si>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</si>
  <si>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</si>
  <si>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</si>
  <si>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</si>
  <si>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</si>
  <si>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</si>
  <si>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</si>
  <si>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</si>
  <si>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</si>
  <si>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</si>
  <si>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</si>
  <si>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</si>
  <si>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</si>
  <si>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</si>
  <si>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</si>
  <si>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</si>
  <si>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</si>
  <si>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</si>
  <si>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</si>
  <si>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</si>
  <si>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</si>
  <si>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</si>
  <si>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</si>
  <si>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</si>
  <si>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</si>
  <si>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</si>
  <si>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</si>
  <si>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</si>
  <si>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</si>
  <si>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</si>
  <si>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</si>
  <si>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5643</t>
  </si>
  <si>
    <t>IBVS 5653</t>
  </si>
  <si>
    <t>I</t>
  </si>
  <si>
    <t>IBVS 5731</t>
  </si>
  <si>
    <t>EOJV</t>
  </si>
  <si>
    <t>2006OEJV...28....1M</t>
  </si>
  <si>
    <t>Wood 1963</t>
  </si>
  <si>
    <t>1963AJ.....68..257W</t>
  </si>
  <si>
    <t>GU Cas / GSC 03661-01771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</si>
  <si>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</si>
  <si>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</si>
  <si>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</si>
  <si>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</si>
  <si>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</si>
  <si>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</si>
  <si>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</si>
  <si>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0028</t>
  </si>
  <si>
    <t>OEJV 0074</t>
  </si>
  <si>
    <t>Add cycle</t>
  </si>
  <si>
    <t>Old Cycle</t>
  </si>
  <si>
    <t>OEJV 0001</t>
  </si>
  <si>
    <t>vis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</si>
  <si>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</si>
  <si>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</si>
  <si>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</si>
  <si>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</si>
  <si>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</si>
  <si>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</si>
  <si>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</si>
  <si>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</si>
  <si>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</si>
  <si>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</si>
  <si>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</si>
  <si>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</si>
  <si>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2417474.23 </t>
  </si>
  <si>
    <t> 20.09.1906 17:31 </t>
  </si>
  <si>
    <t> 0.52 </t>
  </si>
  <si>
    <t>P </t>
  </si>
  <si>
    <t> B.V.Kukarkin </t>
  </si>
  <si>
    <t> PZ 6.70 </t>
  </si>
  <si>
    <t>2427722.32 </t>
  </si>
  <si>
    <t> 11.10.1934 19:40 </t>
  </si>
  <si>
    <t> 0.21 </t>
  </si>
  <si>
    <t> P.Parenago </t>
  </si>
  <si>
    <t> PZ 5.162 </t>
  </si>
  <si>
    <t>2427722.48 </t>
  </si>
  <si>
    <t> 11.10.1934 23:31 </t>
  </si>
  <si>
    <t> 0.37 </t>
  </si>
  <si>
    <t>2427784.18 </t>
  </si>
  <si>
    <t> 12.12.1934 16:19 </t>
  </si>
  <si>
    <t> 0.20 </t>
  </si>
  <si>
    <t>2428081.24 </t>
  </si>
  <si>
    <t> 05.10.1935 17:45 </t>
  </si>
  <si>
    <t> 0.29 </t>
  </si>
  <si>
    <t>2428573.09 </t>
  </si>
  <si>
    <t> 08.02.1937 14:09 </t>
  </si>
  <si>
    <t>2428573.20 </t>
  </si>
  <si>
    <t> 08.02.1937 16:48 </t>
  </si>
  <si>
    <t> 0.40 </t>
  </si>
  <si>
    <t>2428576.22 </t>
  </si>
  <si>
    <t> 11.02.1937 17:16 </t>
  </si>
  <si>
    <t> 0.33 </t>
  </si>
  <si>
    <t>2428749.40 </t>
  </si>
  <si>
    <t> 03.08.1937 21:36 </t>
  </si>
  <si>
    <t> 0.28 </t>
  </si>
  <si>
    <t>2428774.19 </t>
  </si>
  <si>
    <t> 28.08.1937 16:33 </t>
  </si>
  <si>
    <t> 0.32 </t>
  </si>
  <si>
    <t>2429547.50 </t>
  </si>
  <si>
    <t> 11.10.1939 00:00 </t>
  </si>
  <si>
    <t>2429872.30 </t>
  </si>
  <si>
    <t> 30.08.1940 19:12 </t>
  </si>
  <si>
    <t>2430642.571 </t>
  </si>
  <si>
    <t> 10.10.1942 01:42 </t>
  </si>
  <si>
    <t> 0.296 </t>
  </si>
  <si>
    <t> B.S.Whitney </t>
  </si>
  <si>
    <t> AJ 62.374 </t>
  </si>
  <si>
    <t>2431381.837 </t>
  </si>
  <si>
    <t> 18.10.1944 08:05 </t>
  </si>
  <si>
    <t> 0.242 </t>
  </si>
  <si>
    <t>2431703.562 </t>
  </si>
  <si>
    <t> 05.09.1945 01:29 </t>
  </si>
  <si>
    <t> 0.254 </t>
  </si>
  <si>
    <t>2432009.816 </t>
  </si>
  <si>
    <t> 08.07.1946 07:35 </t>
  </si>
  <si>
    <t> 0.262 </t>
  </si>
  <si>
    <t>2432501.627 </t>
  </si>
  <si>
    <t> 12.11.1947 03:02 </t>
  </si>
  <si>
    <t> 0.224 </t>
  </si>
  <si>
    <t>2432708.883 </t>
  </si>
  <si>
    <t> 06.06.1948 09:11 </t>
  </si>
  <si>
    <t> 0.223 </t>
  </si>
  <si>
    <t>2433101.702 </t>
  </si>
  <si>
    <t> 04.07.1949 04:50 </t>
  </si>
  <si>
    <t> 0.181 </t>
  </si>
  <si>
    <t>2433503.846 </t>
  </si>
  <si>
    <t> 10.08.1950 08:18 </t>
  </si>
  <si>
    <t> 0.184 </t>
  </si>
  <si>
    <t>2434360.704 </t>
  </si>
  <si>
    <t> 14.12.1952 04:53 </t>
  </si>
  <si>
    <t> 0.173 </t>
  </si>
  <si>
    <t>2435118.625 </t>
  </si>
  <si>
    <t> 11.01.1955 03:00 </t>
  </si>
  <si>
    <t> 0.213 </t>
  </si>
  <si>
    <t>2435477.37 </t>
  </si>
  <si>
    <t> 04.01.1956 20:52 </t>
  </si>
  <si>
    <t> 0.13 </t>
  </si>
  <si>
    <t> G.Romano </t>
  </si>
  <si>
    <t> MSAI 29.493 </t>
  </si>
  <si>
    <t>2437367.375 </t>
  </si>
  <si>
    <t> 08.03.1961 21:00 </t>
  </si>
  <si>
    <t> 0.068 </t>
  </si>
  <si>
    <t> T.Berthold </t>
  </si>
  <si>
    <t> HABZ 57 </t>
  </si>
  <si>
    <t>2438759.327 </t>
  </si>
  <si>
    <t> 29.12.1964 19:50 </t>
  </si>
  <si>
    <t> -0.006 </t>
  </si>
  <si>
    <t> N.K.Malshakova </t>
  </si>
  <si>
    <t> PZP 2.278 </t>
  </si>
  <si>
    <t>2439056.303 </t>
  </si>
  <si>
    <t> 22.10.1965 19:16 </t>
  </si>
  <si>
    <t> 0.005 </t>
  </si>
  <si>
    <t>2439056.455 </t>
  </si>
  <si>
    <t> 22.10.1965 22:55 </t>
  </si>
  <si>
    <t> 0.157 </t>
  </si>
  <si>
    <t>2439059.446 </t>
  </si>
  <si>
    <t> 25.10.1965 22:42 </t>
  </si>
  <si>
    <t> 0.054 </t>
  </si>
  <si>
    <t>2440151.380 </t>
  </si>
  <si>
    <t> 21.10.1968 21:07 </t>
  </si>
  <si>
    <t> 0.021 </t>
  </si>
  <si>
    <t>2441181.409 </t>
  </si>
  <si>
    <t> 17.08.1971 21:48 </t>
  </si>
  <si>
    <t> -0.049 </t>
  </si>
  <si>
    <t>2441181.442 </t>
  </si>
  <si>
    <t> 17.08.1971 22:36 </t>
  </si>
  <si>
    <t> -0.016 </t>
  </si>
  <si>
    <t>2441181.454 </t>
  </si>
  <si>
    <t> 17.08.1971 22:53 </t>
  </si>
  <si>
    <t> -0.004 </t>
  </si>
  <si>
    <t>2441181.475 </t>
  </si>
  <si>
    <t> 17.08.1971 23:24 </t>
  </si>
  <si>
    <t> 0.017 </t>
  </si>
  <si>
    <t>2441181.508 </t>
  </si>
  <si>
    <t> 18.08.1971 00:11 </t>
  </si>
  <si>
    <t> 0.050 </t>
  </si>
  <si>
    <t>2441212.334 </t>
  </si>
  <si>
    <t> 17.09.1971 20:00 </t>
  </si>
  <si>
    <t> -0.058 </t>
  </si>
  <si>
    <t>2441240.286 </t>
  </si>
  <si>
    <t> 15.10.1971 18:51 </t>
  </si>
  <si>
    <t>2441546.457 </t>
  </si>
  <si>
    <t> 16.08.1972 22:58 </t>
  </si>
  <si>
    <t> -0.021 </t>
  </si>
  <si>
    <t>2441546.489 </t>
  </si>
  <si>
    <t> 16.08.1972 23:44 </t>
  </si>
  <si>
    <t> 0.011 </t>
  </si>
  <si>
    <t>2441973.332 </t>
  </si>
  <si>
    <t> 17.10.1973 19:58 </t>
  </si>
  <si>
    <t> -0.034 </t>
  </si>
  <si>
    <t>2452617.478 </t>
  </si>
  <si>
    <t> 08.12.2002 23:28 </t>
  </si>
  <si>
    <t> -0.247 </t>
  </si>
  <si>
    <t>V </t>
  </si>
  <si>
    <t> R.Meyer </t>
  </si>
  <si>
    <t>BAVM 157 </t>
  </si>
  <si>
    <t>2452648.415 </t>
  </si>
  <si>
    <t> 08.01.2003 21:57 </t>
  </si>
  <si>
    <t> -0.243 </t>
  </si>
  <si>
    <t>2452982.4562 </t>
  </si>
  <si>
    <t> 08.12.2003 22:56 </t>
  </si>
  <si>
    <t> -0.2885 </t>
  </si>
  <si>
    <t>E </t>
  </si>
  <si>
    <t>-I</t>
  </si>
  <si>
    <t> v.Poschinger </t>
  </si>
  <si>
    <t>BAVM 172 </t>
  </si>
  <si>
    <t>2453248.481 </t>
  </si>
  <si>
    <t> 30.08.2004 23:32 </t>
  </si>
  <si>
    <t>3901</t>
  </si>
  <si>
    <t> -0.295 </t>
  </si>
  <si>
    <t>BAVM 174 </t>
  </si>
  <si>
    <t>2453341.2757 </t>
  </si>
  <si>
    <t> 01.12.2004 18:37 </t>
  </si>
  <si>
    <t>3931</t>
  </si>
  <si>
    <t> -0.3023 </t>
  </si>
  <si>
    <t>?</t>
  </si>
  <si>
    <t> R. Diethelm </t>
  </si>
  <si>
    <t>IBVS 5653 </t>
  </si>
  <si>
    <t>2453579.459 </t>
  </si>
  <si>
    <t> 27.07.2005 23:00 </t>
  </si>
  <si>
    <t>4008</t>
  </si>
  <si>
    <t> -0.310 </t>
  </si>
  <si>
    <t>C </t>
  </si>
  <si>
    <t> M.Banfi </t>
  </si>
  <si>
    <t> JAAVSO 39;102 </t>
  </si>
  <si>
    <t>2453613.4901 </t>
  </si>
  <si>
    <t> 30.08.2005 23:45 </t>
  </si>
  <si>
    <t>4019</t>
  </si>
  <si>
    <t> -0.3063 </t>
  </si>
  <si>
    <t> Quester </t>
  </si>
  <si>
    <t>BAVM 178 </t>
  </si>
  <si>
    <t>2453638.236 </t>
  </si>
  <si>
    <t> 24.09.2005 17:39 </t>
  </si>
  <si>
    <t>4027</t>
  </si>
  <si>
    <t> -0.308 </t>
  </si>
  <si>
    <t>OEJV 0028 </t>
  </si>
  <si>
    <t>2453644.420 </t>
  </si>
  <si>
    <t> 30.09.2005 22:04 </t>
  </si>
  <si>
    <t>4029</t>
  </si>
  <si>
    <t>2453644.422 </t>
  </si>
  <si>
    <t> 30.09.2005 22:07 </t>
  </si>
  <si>
    <t>2453706.289 </t>
  </si>
  <si>
    <t> 01.12.2005 18:56 </t>
  </si>
  <si>
    <t>4049</t>
  </si>
  <si>
    <t> -0.309 </t>
  </si>
  <si>
    <t>2453706.290 </t>
  </si>
  <si>
    <t> 01.12.2005 18:57 </t>
  </si>
  <si>
    <t>o</t>
  </si>
  <si>
    <t>2453712.482 </t>
  </si>
  <si>
    <t> 07.12.2005 23:34 </t>
  </si>
  <si>
    <t>4051</t>
  </si>
  <si>
    <t> -0.303 </t>
  </si>
  <si>
    <t>2453944.479 </t>
  </si>
  <si>
    <t> 27.07.2006 23:29 </t>
  </si>
  <si>
    <t>4126</t>
  </si>
  <si>
    <t>2453947.569 </t>
  </si>
  <si>
    <t> 31.07.2006 01:39 </t>
  </si>
  <si>
    <t>4127</t>
  </si>
  <si>
    <t> -0.314 </t>
  </si>
  <si>
    <t>2453975.4083 </t>
  </si>
  <si>
    <t> 27.08.2006 21:47 </t>
  </si>
  <si>
    <t>4136</t>
  </si>
  <si>
    <t> -0.3149 </t>
  </si>
  <si>
    <t>2454278.553 </t>
  </si>
  <si>
    <t> 27.06.2007 01:16 </t>
  </si>
  <si>
    <t>4234</t>
  </si>
  <si>
    <t> -0.322 </t>
  </si>
  <si>
    <t>2454306.3941 </t>
  </si>
  <si>
    <t> 24.07.2007 21:27 </t>
  </si>
  <si>
    <t>4243</t>
  </si>
  <si>
    <t> -0.3219 </t>
  </si>
  <si>
    <t>2454309.4852 </t>
  </si>
  <si>
    <t> 27.07.2007 23:38 </t>
  </si>
  <si>
    <t>4244</t>
  </si>
  <si>
    <t> -0.3242 </t>
  </si>
  <si>
    <t>2454340.419 </t>
  </si>
  <si>
    <t> 27.08.2007 22:03 </t>
  </si>
  <si>
    <t>4254</t>
  </si>
  <si>
    <t> -0.324 </t>
  </si>
  <si>
    <t>2454374.4400 </t>
  </si>
  <si>
    <t> 30.09.2007 22:33 </t>
  </si>
  <si>
    <t>4265</t>
  </si>
  <si>
    <t> -0.3306 </t>
  </si>
  <si>
    <t> F.Agerer </t>
  </si>
  <si>
    <t>BAVM 193 </t>
  </si>
  <si>
    <t>2454405.383 </t>
  </si>
  <si>
    <t> 31.10.2007 21:11 </t>
  </si>
  <si>
    <t>4275</t>
  </si>
  <si>
    <t>2455067.3473 </t>
  </si>
  <si>
    <t> 23.08.2009 20:20 </t>
  </si>
  <si>
    <t>4489</t>
  </si>
  <si>
    <t> -0.3429 </t>
  </si>
  <si>
    <t>BAVM 212 </t>
  </si>
  <si>
    <t>2455426.177 </t>
  </si>
  <si>
    <t> 17.08.2010 16:14 </t>
  </si>
  <si>
    <t>4605</t>
  </si>
  <si>
    <t> -0.347 </t>
  </si>
  <si>
    <t> H.Itoh </t>
  </si>
  <si>
    <t>VSB 51 </t>
  </si>
  <si>
    <t>2455599.4015 </t>
  </si>
  <si>
    <t> 06.02.2011 21:38 </t>
  </si>
  <si>
    <t>4661</t>
  </si>
  <si>
    <t> -0.3520 </t>
  </si>
  <si>
    <t> H.Jungbluth </t>
  </si>
  <si>
    <t>BAVM 220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</si>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</sst>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38" applyAlignment="1" applyProtection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C-436D-8572-30C42169AF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0.5206240000006801</c:v>
                </c:pt>
                <c:pt idx="1">
                  <c:v>0.20624099999986356</c:v>
                </c:pt>
                <c:pt idx="2">
                  <c:v>0.36624099999971804</c:v>
                </c:pt>
                <c:pt idx="3">
                  <c:v>0.19842100000096252</c:v>
                </c:pt>
                <c:pt idx="4">
                  <c:v>0.29288500000257045</c:v>
                </c:pt>
                <c:pt idx="5">
                  <c:v>0.2937160000037693</c:v>
                </c:pt>
                <c:pt idx="6">
                  <c:v>0.40371600000435137</c:v>
                </c:pt>
                <c:pt idx="7">
                  <c:v>0.33032500000263099</c:v>
                </c:pt>
                <c:pt idx="8">
                  <c:v>0.28042900000218651</c:v>
                </c:pt>
                <c:pt idx="9">
                  <c:v>0.323301000000356</c:v>
                </c:pt>
                <c:pt idx="10">
                  <c:v>0.28555100000085076</c:v>
                </c:pt>
                <c:pt idx="11">
                  <c:v>0.27949599999919883</c:v>
                </c:pt>
                <c:pt idx="12">
                  <c:v>0.29613700000118115</c:v>
                </c:pt>
                <c:pt idx="13">
                  <c:v>0.24168800000188639</c:v>
                </c:pt>
                <c:pt idx="14">
                  <c:v>0.25402400000530179</c:v>
                </c:pt>
                <c:pt idx="15">
                  <c:v>0.26231499999994412</c:v>
                </c:pt>
                <c:pt idx="16">
                  <c:v>0.22414600000047358</c:v>
                </c:pt>
                <c:pt idx="17">
                  <c:v>0.2229490000026999</c:v>
                </c:pt>
                <c:pt idx="18">
                  <c:v>0.18129200000112178</c:v>
                </c:pt>
                <c:pt idx="20">
                  <c:v>0.1844619999974384</c:v>
                </c:pt>
                <c:pt idx="21">
                  <c:v>0.17315499999676831</c:v>
                </c:pt>
                <c:pt idx="22">
                  <c:v>0.21336000000155764</c:v>
                </c:pt>
                <c:pt idx="23">
                  <c:v>0.12500400000135414</c:v>
                </c:pt>
                <c:pt idx="24">
                  <c:v>6.8102999997790903E-2</c:v>
                </c:pt>
                <c:pt idx="25">
                  <c:v>-5.8470000003580935E-3</c:v>
                </c:pt>
                <c:pt idx="26">
                  <c:v>4.6169999986886978E-3</c:v>
                </c:pt>
                <c:pt idx="27">
                  <c:v>0.15661700000055134</c:v>
                </c:pt>
                <c:pt idx="28">
                  <c:v>5.4226000007474795E-2</c:v>
                </c:pt>
                <c:pt idx="29">
                  <c:v>2.1202999996603467E-2</c:v>
                </c:pt>
                <c:pt idx="30">
                  <c:v>-4.8999999999068677E-2</c:v>
                </c:pt>
                <c:pt idx="31">
                  <c:v>-1.5999999995983671E-2</c:v>
                </c:pt>
                <c:pt idx="32">
                  <c:v>-4.0000000008149073E-3</c:v>
                </c:pt>
                <c:pt idx="34">
                  <c:v>1.6999999999825377E-2</c:v>
                </c:pt>
                <c:pt idx="35">
                  <c:v>5.0000000002910383E-2</c:v>
                </c:pt>
                <c:pt idx="36">
                  <c:v>-5.7909999995899852E-2</c:v>
                </c:pt>
                <c:pt idx="37">
                  <c:v>5.3571000004012603E-2</c:v>
                </c:pt>
                <c:pt idx="38">
                  <c:v>-2.1137999996426515E-2</c:v>
                </c:pt>
                <c:pt idx="39">
                  <c:v>1.0862000002816785E-2</c:v>
                </c:pt>
                <c:pt idx="40">
                  <c:v>-3.4095999995770399E-2</c:v>
                </c:pt>
                <c:pt idx="42">
                  <c:v>-0.2465269999956945</c:v>
                </c:pt>
                <c:pt idx="43">
                  <c:v>-0.24343699999735691</c:v>
                </c:pt>
                <c:pt idx="45">
                  <c:v>-0.29529100000218023</c:v>
                </c:pt>
                <c:pt idx="47">
                  <c:v>-0.31012799999734852</c:v>
                </c:pt>
                <c:pt idx="49">
                  <c:v>-0.30755700000008801</c:v>
                </c:pt>
                <c:pt idx="50">
                  <c:v>-0.30755700000008801</c:v>
                </c:pt>
                <c:pt idx="51">
                  <c:v>-0.31033900000329595</c:v>
                </c:pt>
                <c:pt idx="52">
                  <c:v>-0.3083390000028885</c:v>
                </c:pt>
                <c:pt idx="53">
                  <c:v>-0.30915900000400143</c:v>
                </c:pt>
                <c:pt idx="54">
                  <c:v>-0.30815900000015972</c:v>
                </c:pt>
                <c:pt idx="55">
                  <c:v>-0.30294099999446189</c:v>
                </c:pt>
                <c:pt idx="56">
                  <c:v>-0.31026600000041071</c:v>
                </c:pt>
                <c:pt idx="57">
                  <c:v>-0.3136569999915082</c:v>
                </c:pt>
                <c:pt idx="62">
                  <c:v>-0.32431399999768473</c:v>
                </c:pt>
                <c:pt idx="63">
                  <c:v>-0.33061499999894295</c:v>
                </c:pt>
                <c:pt idx="64">
                  <c:v>-0.321524999999383</c:v>
                </c:pt>
                <c:pt idx="66">
                  <c:v>-0.34655499999644235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C-436D-8572-30C42169AF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0.20858299999963492</c:v>
                </c:pt>
                <c:pt idx="44">
                  <c:v>-0.28846499999781372</c:v>
                </c:pt>
                <c:pt idx="48">
                  <c:v>-0.30632899999181973</c:v>
                </c:pt>
                <c:pt idx="67">
                  <c:v>-0.35195099999691593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EC-436D-8572-30C42169AF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6">
                  <c:v>-0.30232100000284845</c:v>
                </c:pt>
                <c:pt idx="58">
                  <c:v>-0.31487599999672966</c:v>
                </c:pt>
                <c:pt idx="59">
                  <c:v>-0.32249400000000605</c:v>
                </c:pt>
                <c:pt idx="60">
                  <c:v>-0.32191299999976764</c:v>
                </c:pt>
                <c:pt idx="61">
                  <c:v>-0.32420399999682559</c:v>
                </c:pt>
                <c:pt idx="65">
                  <c:v>-0.34289899999566842</c:v>
                </c:pt>
                <c:pt idx="68">
                  <c:v>-0.39432799999485724</c:v>
                </c:pt>
                <c:pt idx="69">
                  <c:v>-0.39453800000046613</c:v>
                </c:pt>
                <c:pt idx="71">
                  <c:v>-0.41041299999778857</c:v>
                </c:pt>
                <c:pt idx="72">
                  <c:v>-0.44566600000689505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C-436D-8572-30C42169AF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C-436D-8572-30C42169AF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EC-436D-8572-30C42169AF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C-436D-8572-30C42169AF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0.54920484898529587</c:v>
                </c:pt>
                <c:pt idx="1">
                  <c:v>0.30660556747733919</c:v>
                </c:pt>
                <c:pt idx="2">
                  <c:v>0.30660556747733919</c:v>
                </c:pt>
                <c:pt idx="3">
                  <c:v>0.30514103815945232</c:v>
                </c:pt>
                <c:pt idx="4">
                  <c:v>0.29811129743359543</c:v>
                </c:pt>
                <c:pt idx="5">
                  <c:v>0.28646828935639496</c:v>
                </c:pt>
                <c:pt idx="6">
                  <c:v>0.28646828935639496</c:v>
                </c:pt>
                <c:pt idx="7">
                  <c:v>0.28639506289050065</c:v>
                </c:pt>
                <c:pt idx="8">
                  <c:v>0.28229438080041747</c:v>
                </c:pt>
                <c:pt idx="9">
                  <c:v>0.28170856907326269</c:v>
                </c:pt>
                <c:pt idx="10">
                  <c:v>0.26340195259967708</c:v>
                </c:pt>
                <c:pt idx="11">
                  <c:v>0.25571317368077112</c:v>
                </c:pt>
                <c:pt idx="12">
                  <c:v>0.23747978367307984</c:v>
                </c:pt>
                <c:pt idx="13">
                  <c:v>0.21997865832433197</c:v>
                </c:pt>
                <c:pt idx="14">
                  <c:v>0.21236310587132035</c:v>
                </c:pt>
                <c:pt idx="15">
                  <c:v>0.20511368574778044</c:v>
                </c:pt>
                <c:pt idx="16">
                  <c:v>0.19347067767057999</c:v>
                </c:pt>
                <c:pt idx="17">
                  <c:v>0.18856450445565903</c:v>
                </c:pt>
                <c:pt idx="18">
                  <c:v>0.17926474328707753</c:v>
                </c:pt>
                <c:pt idx="19">
                  <c:v>0.17494438179931132</c:v>
                </c:pt>
                <c:pt idx="20">
                  <c:v>0.16974530272081301</c:v>
                </c:pt>
                <c:pt idx="21">
                  <c:v>0.14946157166808013</c:v>
                </c:pt>
                <c:pt idx="22">
                  <c:v>0.13152108752396621</c:v>
                </c:pt>
                <c:pt idx="23">
                  <c:v>0.12302681748022248</c:v>
                </c:pt>
                <c:pt idx="24">
                  <c:v>7.8285446818779192E-2</c:v>
                </c:pt>
                <c:pt idx="25">
                  <c:v>4.5333537166325058E-2</c:v>
                </c:pt>
                <c:pt idx="26">
                  <c:v>3.8303796440468177E-2</c:v>
                </c:pt>
                <c:pt idx="27">
                  <c:v>3.8303796440468177E-2</c:v>
                </c:pt>
                <c:pt idx="28">
                  <c:v>3.8230569974573837E-2</c:v>
                </c:pt>
                <c:pt idx="29">
                  <c:v>1.2381627513870924E-2</c:v>
                </c:pt>
                <c:pt idx="30">
                  <c:v>-1.2002785628945134E-2</c:v>
                </c:pt>
                <c:pt idx="31">
                  <c:v>-1.2002785628945134E-2</c:v>
                </c:pt>
                <c:pt idx="32">
                  <c:v>-1.2002785628945134E-2</c:v>
                </c:pt>
                <c:pt idx="33">
                  <c:v>-1.2002785628945134E-2</c:v>
                </c:pt>
                <c:pt idx="34">
                  <c:v>-1.2002785628945134E-2</c:v>
                </c:pt>
                <c:pt idx="35">
                  <c:v>-1.2002785628945134E-2</c:v>
                </c:pt>
                <c:pt idx="36">
                  <c:v>-1.273505028788856E-2</c:v>
                </c:pt>
                <c:pt idx="37">
                  <c:v>-1.3394088480937642E-2</c:v>
                </c:pt>
                <c:pt idx="38">
                  <c:v>-2.0643508604477549E-2</c:v>
                </c:pt>
                <c:pt idx="39">
                  <c:v>-2.0643508604477549E-2</c:v>
                </c:pt>
                <c:pt idx="40">
                  <c:v>-3.0748760897896819E-2</c:v>
                </c:pt>
                <c:pt idx="41">
                  <c:v>-0.27170044692323086</c:v>
                </c:pt>
                <c:pt idx="42">
                  <c:v>-0.28272103004032945</c:v>
                </c:pt>
                <c:pt idx="43">
                  <c:v>-0.28345329469927288</c:v>
                </c:pt>
                <c:pt idx="44">
                  <c:v>-0.29136175301586187</c:v>
                </c:pt>
                <c:pt idx="45">
                  <c:v>-0.29765922908277531</c:v>
                </c:pt>
                <c:pt idx="46">
                  <c:v>-0.29985602305960557</c:v>
                </c:pt>
                <c:pt idx="47">
                  <c:v>-0.30549446093346994</c:v>
                </c:pt>
                <c:pt idx="48">
                  <c:v>-0.30629995205830773</c:v>
                </c:pt>
                <c:pt idx="49">
                  <c:v>-0.30688576378546245</c:v>
                </c:pt>
                <c:pt idx="50">
                  <c:v>-0.30688576378546245</c:v>
                </c:pt>
                <c:pt idx="51">
                  <c:v>-0.30703221671725117</c:v>
                </c:pt>
                <c:pt idx="52">
                  <c:v>-0.30703221671725117</c:v>
                </c:pt>
                <c:pt idx="53">
                  <c:v>-0.30849674603513799</c:v>
                </c:pt>
                <c:pt idx="54">
                  <c:v>-0.30849674603513799</c:v>
                </c:pt>
                <c:pt idx="55">
                  <c:v>-0.30864319896692671</c:v>
                </c:pt>
                <c:pt idx="56">
                  <c:v>-0.31413518390900236</c:v>
                </c:pt>
                <c:pt idx="57">
                  <c:v>-0.31420841037489672</c:v>
                </c:pt>
                <c:pt idx="58">
                  <c:v>-0.3148674485679458</c:v>
                </c:pt>
                <c:pt idx="59">
                  <c:v>-0.32204364222559134</c:v>
                </c:pt>
                <c:pt idx="60">
                  <c:v>-0.32270268041864048</c:v>
                </c:pt>
                <c:pt idx="61">
                  <c:v>-0.32277590688453478</c:v>
                </c:pt>
                <c:pt idx="62">
                  <c:v>-0.32350817154347822</c:v>
                </c:pt>
                <c:pt idx="63">
                  <c:v>-0.32431366266831596</c:v>
                </c:pt>
                <c:pt idx="64">
                  <c:v>-0.3250459273272594</c:v>
                </c:pt>
                <c:pt idx="65">
                  <c:v>-0.3407163910286487</c:v>
                </c:pt>
                <c:pt idx="66">
                  <c:v>-0.34921066107239246</c:v>
                </c:pt>
                <c:pt idx="67">
                  <c:v>-0.35331134316247564</c:v>
                </c:pt>
                <c:pt idx="68">
                  <c:v>-0.39336622000668098</c:v>
                </c:pt>
                <c:pt idx="69">
                  <c:v>-0.39409848466562442</c:v>
                </c:pt>
                <c:pt idx="70">
                  <c:v>-0.39409848466562442</c:v>
                </c:pt>
                <c:pt idx="71">
                  <c:v>-0.41057443949185146</c:v>
                </c:pt>
                <c:pt idx="72">
                  <c:v>-0.44594282251881889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C-436D-8572-30C42169AF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1">
                  <c:v>-0.67775149999943096</c:v>
                </c:pt>
                <c:pt idx="70">
                  <c:v>-0.29973799999424955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EC-436D-8572-30C42169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59816"/>
        <c:axId val="1"/>
      </c:scatterChart>
      <c:valAx>
        <c:axId val="789959816"/>
        <c:scaling>
          <c:orientation val="minMax"/>
          <c:min val="3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6"/>
          <c:min val="-0.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59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0D-49B2-9F4E-7AB85BC19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0.5206240000006801</c:v>
                </c:pt>
                <c:pt idx="1">
                  <c:v>0.20624099999986356</c:v>
                </c:pt>
                <c:pt idx="2">
                  <c:v>0.36624099999971804</c:v>
                </c:pt>
                <c:pt idx="3">
                  <c:v>0.19842100000096252</c:v>
                </c:pt>
                <c:pt idx="4">
                  <c:v>0.29288500000257045</c:v>
                </c:pt>
                <c:pt idx="5">
                  <c:v>0.2937160000037693</c:v>
                </c:pt>
                <c:pt idx="6">
                  <c:v>0.40371600000435137</c:v>
                </c:pt>
                <c:pt idx="7">
                  <c:v>0.33032500000263099</c:v>
                </c:pt>
                <c:pt idx="8">
                  <c:v>0.28042900000218651</c:v>
                </c:pt>
                <c:pt idx="9">
                  <c:v>0.323301000000356</c:v>
                </c:pt>
                <c:pt idx="10">
                  <c:v>0.28555100000085076</c:v>
                </c:pt>
                <c:pt idx="11">
                  <c:v>0.27949599999919883</c:v>
                </c:pt>
                <c:pt idx="12">
                  <c:v>0.29613700000118115</c:v>
                </c:pt>
                <c:pt idx="13">
                  <c:v>0.24168800000188639</c:v>
                </c:pt>
                <c:pt idx="14">
                  <c:v>0.25402400000530179</c:v>
                </c:pt>
                <c:pt idx="15">
                  <c:v>0.26231499999994412</c:v>
                </c:pt>
                <c:pt idx="16">
                  <c:v>0.22414600000047358</c:v>
                </c:pt>
                <c:pt idx="17">
                  <c:v>0.2229490000026999</c:v>
                </c:pt>
                <c:pt idx="18">
                  <c:v>0.18129200000112178</c:v>
                </c:pt>
                <c:pt idx="20">
                  <c:v>0.1844619999974384</c:v>
                </c:pt>
                <c:pt idx="21">
                  <c:v>0.17315499999676831</c:v>
                </c:pt>
                <c:pt idx="22">
                  <c:v>0.21336000000155764</c:v>
                </c:pt>
                <c:pt idx="23">
                  <c:v>0.12500400000135414</c:v>
                </c:pt>
                <c:pt idx="24">
                  <c:v>6.8102999997790903E-2</c:v>
                </c:pt>
                <c:pt idx="25">
                  <c:v>-5.8470000003580935E-3</c:v>
                </c:pt>
                <c:pt idx="26">
                  <c:v>4.6169999986886978E-3</c:v>
                </c:pt>
                <c:pt idx="27">
                  <c:v>0.15661700000055134</c:v>
                </c:pt>
                <c:pt idx="28">
                  <c:v>5.4226000007474795E-2</c:v>
                </c:pt>
                <c:pt idx="29">
                  <c:v>2.1202999996603467E-2</c:v>
                </c:pt>
                <c:pt idx="30">
                  <c:v>-4.8999999999068677E-2</c:v>
                </c:pt>
                <c:pt idx="31">
                  <c:v>-1.5999999995983671E-2</c:v>
                </c:pt>
                <c:pt idx="32">
                  <c:v>-4.0000000008149073E-3</c:v>
                </c:pt>
                <c:pt idx="34">
                  <c:v>1.6999999999825377E-2</c:v>
                </c:pt>
                <c:pt idx="35">
                  <c:v>5.0000000002910383E-2</c:v>
                </c:pt>
                <c:pt idx="36">
                  <c:v>-5.7909999995899852E-2</c:v>
                </c:pt>
                <c:pt idx="37">
                  <c:v>5.3571000004012603E-2</c:v>
                </c:pt>
                <c:pt idx="38">
                  <c:v>-2.1137999996426515E-2</c:v>
                </c:pt>
                <c:pt idx="39">
                  <c:v>1.0862000002816785E-2</c:v>
                </c:pt>
                <c:pt idx="40">
                  <c:v>-3.4095999995770399E-2</c:v>
                </c:pt>
                <c:pt idx="42">
                  <c:v>-0.2465269999956945</c:v>
                </c:pt>
                <c:pt idx="43">
                  <c:v>-0.24343699999735691</c:v>
                </c:pt>
                <c:pt idx="45">
                  <c:v>-0.29529100000218023</c:v>
                </c:pt>
                <c:pt idx="47">
                  <c:v>-0.31012799999734852</c:v>
                </c:pt>
                <c:pt idx="49">
                  <c:v>-0.30755700000008801</c:v>
                </c:pt>
                <c:pt idx="50">
                  <c:v>-0.30755700000008801</c:v>
                </c:pt>
                <c:pt idx="51">
                  <c:v>-0.31033900000329595</c:v>
                </c:pt>
                <c:pt idx="52">
                  <c:v>-0.3083390000028885</c:v>
                </c:pt>
                <c:pt idx="53">
                  <c:v>-0.30915900000400143</c:v>
                </c:pt>
                <c:pt idx="54">
                  <c:v>-0.30815900000015972</c:v>
                </c:pt>
                <c:pt idx="55">
                  <c:v>-0.30294099999446189</c:v>
                </c:pt>
                <c:pt idx="56">
                  <c:v>-0.31026600000041071</c:v>
                </c:pt>
                <c:pt idx="57">
                  <c:v>-0.3136569999915082</c:v>
                </c:pt>
                <c:pt idx="62">
                  <c:v>-0.32431399999768473</c:v>
                </c:pt>
                <c:pt idx="63">
                  <c:v>-0.33061499999894295</c:v>
                </c:pt>
                <c:pt idx="64">
                  <c:v>-0.321524999999383</c:v>
                </c:pt>
                <c:pt idx="66">
                  <c:v>-0.34655499999644235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0D-49B2-9F4E-7AB85BC19D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0.20858299999963492</c:v>
                </c:pt>
                <c:pt idx="44">
                  <c:v>-0.28846499999781372</c:v>
                </c:pt>
                <c:pt idx="48">
                  <c:v>-0.30632899999181973</c:v>
                </c:pt>
                <c:pt idx="67">
                  <c:v>-0.35195099999691593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0D-49B2-9F4E-7AB85BC19D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6">
                  <c:v>-0.30232100000284845</c:v>
                </c:pt>
                <c:pt idx="58">
                  <c:v>-0.31487599999672966</c:v>
                </c:pt>
                <c:pt idx="59">
                  <c:v>-0.32249400000000605</c:v>
                </c:pt>
                <c:pt idx="60">
                  <c:v>-0.32191299999976764</c:v>
                </c:pt>
                <c:pt idx="61">
                  <c:v>-0.32420399999682559</c:v>
                </c:pt>
                <c:pt idx="65">
                  <c:v>-0.34289899999566842</c:v>
                </c:pt>
                <c:pt idx="68">
                  <c:v>-0.39432799999485724</c:v>
                </c:pt>
                <c:pt idx="69">
                  <c:v>-0.39453800000046613</c:v>
                </c:pt>
                <c:pt idx="71">
                  <c:v>-0.41041299999778857</c:v>
                </c:pt>
                <c:pt idx="72">
                  <c:v>-0.44566600000689505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0D-49B2-9F4E-7AB85BC19D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0D-49B2-9F4E-7AB85BC19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0D-49B2-9F4E-7AB85BC19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2.2000000000000001E-3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0</c:v>
                  </c:pt>
                  <c:pt idx="46">
                    <c:v>1.5E-3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1.1000000000000001E-3</c:v>
                  </c:pt>
                  <c:pt idx="68">
                    <c:v>4.0000000000000001E-3</c:v>
                  </c:pt>
                  <c:pt idx="69">
                    <c:v>2.3E-3</c:v>
                  </c:pt>
                  <c:pt idx="70">
                    <c:v>3.0000000000000001E-3</c:v>
                  </c:pt>
                  <c:pt idx="71">
                    <c:v>2E-3</c:v>
                  </c:pt>
                  <c:pt idx="7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0D-49B2-9F4E-7AB85BC19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0.54920484898529587</c:v>
                </c:pt>
                <c:pt idx="1">
                  <c:v>0.30660556747733919</c:v>
                </c:pt>
                <c:pt idx="2">
                  <c:v>0.30660556747733919</c:v>
                </c:pt>
                <c:pt idx="3">
                  <c:v>0.30514103815945232</c:v>
                </c:pt>
                <c:pt idx="4">
                  <c:v>0.29811129743359543</c:v>
                </c:pt>
                <c:pt idx="5">
                  <c:v>0.28646828935639496</c:v>
                </c:pt>
                <c:pt idx="6">
                  <c:v>0.28646828935639496</c:v>
                </c:pt>
                <c:pt idx="7">
                  <c:v>0.28639506289050065</c:v>
                </c:pt>
                <c:pt idx="8">
                  <c:v>0.28229438080041747</c:v>
                </c:pt>
                <c:pt idx="9">
                  <c:v>0.28170856907326269</c:v>
                </c:pt>
                <c:pt idx="10">
                  <c:v>0.26340195259967708</c:v>
                </c:pt>
                <c:pt idx="11">
                  <c:v>0.25571317368077112</c:v>
                </c:pt>
                <c:pt idx="12">
                  <c:v>0.23747978367307984</c:v>
                </c:pt>
                <c:pt idx="13">
                  <c:v>0.21997865832433197</c:v>
                </c:pt>
                <c:pt idx="14">
                  <c:v>0.21236310587132035</c:v>
                </c:pt>
                <c:pt idx="15">
                  <c:v>0.20511368574778044</c:v>
                </c:pt>
                <c:pt idx="16">
                  <c:v>0.19347067767057999</c:v>
                </c:pt>
                <c:pt idx="17">
                  <c:v>0.18856450445565903</c:v>
                </c:pt>
                <c:pt idx="18">
                  <c:v>0.17926474328707753</c:v>
                </c:pt>
                <c:pt idx="19">
                  <c:v>0.17494438179931132</c:v>
                </c:pt>
                <c:pt idx="20">
                  <c:v>0.16974530272081301</c:v>
                </c:pt>
                <c:pt idx="21">
                  <c:v>0.14946157166808013</c:v>
                </c:pt>
                <c:pt idx="22">
                  <c:v>0.13152108752396621</c:v>
                </c:pt>
                <c:pt idx="23">
                  <c:v>0.12302681748022248</c:v>
                </c:pt>
                <c:pt idx="24">
                  <c:v>7.8285446818779192E-2</c:v>
                </c:pt>
                <c:pt idx="25">
                  <c:v>4.5333537166325058E-2</c:v>
                </c:pt>
                <c:pt idx="26">
                  <c:v>3.8303796440468177E-2</c:v>
                </c:pt>
                <c:pt idx="27">
                  <c:v>3.8303796440468177E-2</c:v>
                </c:pt>
                <c:pt idx="28">
                  <c:v>3.8230569974573837E-2</c:v>
                </c:pt>
                <c:pt idx="29">
                  <c:v>1.2381627513870924E-2</c:v>
                </c:pt>
                <c:pt idx="30">
                  <c:v>-1.2002785628945134E-2</c:v>
                </c:pt>
                <c:pt idx="31">
                  <c:v>-1.2002785628945134E-2</c:v>
                </c:pt>
                <c:pt idx="32">
                  <c:v>-1.2002785628945134E-2</c:v>
                </c:pt>
                <c:pt idx="33">
                  <c:v>-1.2002785628945134E-2</c:v>
                </c:pt>
                <c:pt idx="34">
                  <c:v>-1.2002785628945134E-2</c:v>
                </c:pt>
                <c:pt idx="35">
                  <c:v>-1.2002785628945134E-2</c:v>
                </c:pt>
                <c:pt idx="36">
                  <c:v>-1.273505028788856E-2</c:v>
                </c:pt>
                <c:pt idx="37">
                  <c:v>-1.3394088480937642E-2</c:v>
                </c:pt>
                <c:pt idx="38">
                  <c:v>-2.0643508604477549E-2</c:v>
                </c:pt>
                <c:pt idx="39">
                  <c:v>-2.0643508604477549E-2</c:v>
                </c:pt>
                <c:pt idx="40">
                  <c:v>-3.0748760897896819E-2</c:v>
                </c:pt>
                <c:pt idx="41">
                  <c:v>-0.27170044692323086</c:v>
                </c:pt>
                <c:pt idx="42">
                  <c:v>-0.28272103004032945</c:v>
                </c:pt>
                <c:pt idx="43">
                  <c:v>-0.28345329469927288</c:v>
                </c:pt>
                <c:pt idx="44">
                  <c:v>-0.29136175301586187</c:v>
                </c:pt>
                <c:pt idx="45">
                  <c:v>-0.29765922908277531</c:v>
                </c:pt>
                <c:pt idx="46">
                  <c:v>-0.29985602305960557</c:v>
                </c:pt>
                <c:pt idx="47">
                  <c:v>-0.30549446093346994</c:v>
                </c:pt>
                <c:pt idx="48">
                  <c:v>-0.30629995205830773</c:v>
                </c:pt>
                <c:pt idx="49">
                  <c:v>-0.30688576378546245</c:v>
                </c:pt>
                <c:pt idx="50">
                  <c:v>-0.30688576378546245</c:v>
                </c:pt>
                <c:pt idx="51">
                  <c:v>-0.30703221671725117</c:v>
                </c:pt>
                <c:pt idx="52">
                  <c:v>-0.30703221671725117</c:v>
                </c:pt>
                <c:pt idx="53">
                  <c:v>-0.30849674603513799</c:v>
                </c:pt>
                <c:pt idx="54">
                  <c:v>-0.30849674603513799</c:v>
                </c:pt>
                <c:pt idx="55">
                  <c:v>-0.30864319896692671</c:v>
                </c:pt>
                <c:pt idx="56">
                  <c:v>-0.31413518390900236</c:v>
                </c:pt>
                <c:pt idx="57">
                  <c:v>-0.31420841037489672</c:v>
                </c:pt>
                <c:pt idx="58">
                  <c:v>-0.3148674485679458</c:v>
                </c:pt>
                <c:pt idx="59">
                  <c:v>-0.32204364222559134</c:v>
                </c:pt>
                <c:pt idx="60">
                  <c:v>-0.32270268041864048</c:v>
                </c:pt>
                <c:pt idx="61">
                  <c:v>-0.32277590688453478</c:v>
                </c:pt>
                <c:pt idx="62">
                  <c:v>-0.32350817154347822</c:v>
                </c:pt>
                <c:pt idx="63">
                  <c:v>-0.32431366266831596</c:v>
                </c:pt>
                <c:pt idx="64">
                  <c:v>-0.3250459273272594</c:v>
                </c:pt>
                <c:pt idx="65">
                  <c:v>-0.3407163910286487</c:v>
                </c:pt>
                <c:pt idx="66">
                  <c:v>-0.34921066107239246</c:v>
                </c:pt>
                <c:pt idx="67">
                  <c:v>-0.35331134316247564</c:v>
                </c:pt>
                <c:pt idx="68">
                  <c:v>-0.39336622000668098</c:v>
                </c:pt>
                <c:pt idx="69">
                  <c:v>-0.39409848466562442</c:v>
                </c:pt>
                <c:pt idx="70">
                  <c:v>-0.39409848466562442</c:v>
                </c:pt>
                <c:pt idx="71">
                  <c:v>-0.41057443949185146</c:v>
                </c:pt>
                <c:pt idx="72">
                  <c:v>-0.44594282251881889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0D-49B2-9F4E-7AB85BC19D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-7664</c:v>
                </c:pt>
                <c:pt idx="1">
                  <c:v>-4351</c:v>
                </c:pt>
                <c:pt idx="2">
                  <c:v>-4351</c:v>
                </c:pt>
                <c:pt idx="3">
                  <c:v>-4331</c:v>
                </c:pt>
                <c:pt idx="4">
                  <c:v>-4235</c:v>
                </c:pt>
                <c:pt idx="5">
                  <c:v>-4076</c:v>
                </c:pt>
                <c:pt idx="6">
                  <c:v>-4076</c:v>
                </c:pt>
                <c:pt idx="7">
                  <c:v>-4075</c:v>
                </c:pt>
                <c:pt idx="8">
                  <c:v>-4019</c:v>
                </c:pt>
                <c:pt idx="9">
                  <c:v>-4011</c:v>
                </c:pt>
                <c:pt idx="10">
                  <c:v>-3761</c:v>
                </c:pt>
                <c:pt idx="11">
                  <c:v>-3656</c:v>
                </c:pt>
                <c:pt idx="12">
                  <c:v>-3407</c:v>
                </c:pt>
                <c:pt idx="13">
                  <c:v>-3168</c:v>
                </c:pt>
                <c:pt idx="14">
                  <c:v>-3064</c:v>
                </c:pt>
                <c:pt idx="15">
                  <c:v>-2965</c:v>
                </c:pt>
                <c:pt idx="16">
                  <c:v>-2806</c:v>
                </c:pt>
                <c:pt idx="17">
                  <c:v>-2739</c:v>
                </c:pt>
                <c:pt idx="18">
                  <c:v>-2612</c:v>
                </c:pt>
                <c:pt idx="19">
                  <c:v>-2553</c:v>
                </c:pt>
                <c:pt idx="20">
                  <c:v>-2482</c:v>
                </c:pt>
                <c:pt idx="21">
                  <c:v>-2205</c:v>
                </c:pt>
                <c:pt idx="22">
                  <c:v>-1960</c:v>
                </c:pt>
                <c:pt idx="23">
                  <c:v>-1844</c:v>
                </c:pt>
                <c:pt idx="24">
                  <c:v>-1233</c:v>
                </c:pt>
                <c:pt idx="25">
                  <c:v>-783</c:v>
                </c:pt>
                <c:pt idx="26">
                  <c:v>-687</c:v>
                </c:pt>
                <c:pt idx="27">
                  <c:v>-687</c:v>
                </c:pt>
                <c:pt idx="28">
                  <c:v>-686</c:v>
                </c:pt>
                <c:pt idx="29">
                  <c:v>-333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19</c:v>
                </c:pt>
                <c:pt idx="38">
                  <c:v>118</c:v>
                </c:pt>
                <c:pt idx="39">
                  <c:v>118</c:v>
                </c:pt>
                <c:pt idx="40">
                  <c:v>256</c:v>
                </c:pt>
                <c:pt idx="41">
                  <c:v>3546.5</c:v>
                </c:pt>
                <c:pt idx="42">
                  <c:v>3697</c:v>
                </c:pt>
                <c:pt idx="43">
                  <c:v>3707</c:v>
                </c:pt>
                <c:pt idx="44">
                  <c:v>3815</c:v>
                </c:pt>
                <c:pt idx="45">
                  <c:v>3901</c:v>
                </c:pt>
                <c:pt idx="46">
                  <c:v>3931</c:v>
                </c:pt>
                <c:pt idx="47">
                  <c:v>4008</c:v>
                </c:pt>
                <c:pt idx="48">
                  <c:v>4019</c:v>
                </c:pt>
                <c:pt idx="49">
                  <c:v>4027</c:v>
                </c:pt>
                <c:pt idx="50">
                  <c:v>4027</c:v>
                </c:pt>
                <c:pt idx="51">
                  <c:v>4029</c:v>
                </c:pt>
                <c:pt idx="52">
                  <c:v>4029</c:v>
                </c:pt>
                <c:pt idx="53">
                  <c:v>4049</c:v>
                </c:pt>
                <c:pt idx="54">
                  <c:v>4049</c:v>
                </c:pt>
                <c:pt idx="55">
                  <c:v>4051</c:v>
                </c:pt>
                <c:pt idx="56">
                  <c:v>4126</c:v>
                </c:pt>
                <c:pt idx="57">
                  <c:v>4127</c:v>
                </c:pt>
                <c:pt idx="58">
                  <c:v>4136</c:v>
                </c:pt>
                <c:pt idx="59">
                  <c:v>4234</c:v>
                </c:pt>
                <c:pt idx="60">
                  <c:v>4243</c:v>
                </c:pt>
                <c:pt idx="61">
                  <c:v>4244</c:v>
                </c:pt>
                <c:pt idx="62">
                  <c:v>4254</c:v>
                </c:pt>
                <c:pt idx="63">
                  <c:v>4265</c:v>
                </c:pt>
                <c:pt idx="64">
                  <c:v>4275</c:v>
                </c:pt>
                <c:pt idx="65">
                  <c:v>4489</c:v>
                </c:pt>
                <c:pt idx="66">
                  <c:v>4605</c:v>
                </c:pt>
                <c:pt idx="67">
                  <c:v>4661</c:v>
                </c:pt>
                <c:pt idx="68">
                  <c:v>5208</c:v>
                </c:pt>
                <c:pt idx="69">
                  <c:v>5218</c:v>
                </c:pt>
                <c:pt idx="70">
                  <c:v>5218</c:v>
                </c:pt>
                <c:pt idx="71">
                  <c:v>5443</c:v>
                </c:pt>
                <c:pt idx="72">
                  <c:v>5926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1">
                  <c:v>-0.67775149999943096</c:v>
                </c:pt>
                <c:pt idx="70">
                  <c:v>-0.29973799999424955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0D-49B2-9F4E-7AB85BC1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58176"/>
        <c:axId val="1"/>
      </c:scatterChart>
      <c:valAx>
        <c:axId val="789958176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5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18</xdr:col>
      <xdr:colOff>9525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BF7752D-EE80-98C8-4CE9-4B823D8DC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0</xdr:row>
      <xdr:rowOff>0</xdr:rowOff>
    </xdr:from>
    <xdr:to>
      <xdr:col>26</xdr:col>
      <xdr:colOff>561975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079AB45-35CD-FC48-51AA-B59819C13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4?1963AJ.....68..257W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28.pdf" TargetMode="External"/><Relationship Id="rId3" Type="http://schemas.openxmlformats.org/officeDocument/2006/relationships/hyperlink" Target="http://www.bav-astro.de/sfs/BAVM_link.php?BAVMnr=157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174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80" activePane="bottomRight" state="frozen"/>
      <selection pane="topRight" activeCell="O1" sqref="O1"/>
      <selection pane="bottomLeft" activeCell="A22" sqref="A22"/>
      <selection pane="bottomRight" activeCell="A80" sqref="A8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39</v>
      </c>
    </row>
    <row r="2" spans="1:6" x14ac:dyDescent="0.2">
      <c r="A2" t="s">
        <v>26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41181.457999999999</v>
      </c>
      <c r="D4" s="9">
        <v>3.093391</v>
      </c>
    </row>
    <row r="5" spans="1:6" ht="13.5" thickTop="1" x14ac:dyDescent="0.2">
      <c r="A5" s="17" t="s">
        <v>41</v>
      </c>
      <c r="B5" s="18"/>
      <c r="C5" s="19">
        <v>-9.5</v>
      </c>
      <c r="D5" s="18" t="s">
        <v>42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41181.457999999999</v>
      </c>
    </row>
    <row r="8" spans="1:6" x14ac:dyDescent="0.2">
      <c r="A8" t="s">
        <v>5</v>
      </c>
      <c r="C8">
        <f>+D4</f>
        <v>3.093391</v>
      </c>
    </row>
    <row r="9" spans="1:6" x14ac:dyDescent="0.2">
      <c r="A9" s="32" t="s">
        <v>46</v>
      </c>
      <c r="B9" s="33">
        <v>69</v>
      </c>
      <c r="C9" s="21" t="str">
        <f>"F"&amp;B9</f>
        <v>F69</v>
      </c>
      <c r="D9" s="22" t="str">
        <f>"G"&amp;B9</f>
        <v>G69</v>
      </c>
    </row>
    <row r="10" spans="1:6" ht="13.5" thickBot="1" x14ac:dyDescent="0.25">
      <c r="A10" s="18"/>
      <c r="B10" s="18"/>
      <c r="C10" s="4" t="s">
        <v>22</v>
      </c>
      <c r="D10" s="4" t="s">
        <v>23</v>
      </c>
      <c r="E10" s="18"/>
    </row>
    <row r="11" spans="1:6" x14ac:dyDescent="0.2">
      <c r="A11" s="18" t="s">
        <v>18</v>
      </c>
      <c r="B11" s="18"/>
      <c r="C11" s="20">
        <f ca="1">INTERCEPT(INDIRECT($D$9):G992,INDIRECT($C$9):F992)</f>
        <v>-1.2002785628945134E-2</v>
      </c>
      <c r="D11" s="3"/>
      <c r="E11" s="18"/>
    </row>
    <row r="12" spans="1:6" x14ac:dyDescent="0.2">
      <c r="A12" s="18" t="s">
        <v>19</v>
      </c>
      <c r="B12" s="18"/>
      <c r="C12" s="20">
        <f ca="1">SLOPE(INDIRECT($D$9):G992,INDIRECT($C$9):F992)</f>
        <v>-7.3226465894342521E-5</v>
      </c>
      <c r="D12" s="3"/>
      <c r="E12" s="18"/>
    </row>
    <row r="13" spans="1:6" x14ac:dyDescent="0.2">
      <c r="A13" s="18" t="s">
        <v>21</v>
      </c>
      <c r="B13" s="18"/>
      <c r="C13" s="3" t="s">
        <v>16</v>
      </c>
    </row>
    <row r="14" spans="1:6" x14ac:dyDescent="0.2">
      <c r="A14" s="18"/>
      <c r="B14" s="18"/>
      <c r="C14" s="18"/>
    </row>
    <row r="15" spans="1:6" x14ac:dyDescent="0.2">
      <c r="A15" s="23" t="s">
        <v>20</v>
      </c>
      <c r="B15" s="18"/>
      <c r="C15" s="24">
        <f ca="1">(C7+C11)+(C8+C12)*INT(MAX(F21:F3533))</f>
        <v>59512.447123177481</v>
      </c>
      <c r="E15" s="25" t="s">
        <v>49</v>
      </c>
      <c r="F15" s="19">
        <v>1</v>
      </c>
    </row>
    <row r="16" spans="1:6" x14ac:dyDescent="0.2">
      <c r="A16" s="27" t="s">
        <v>6</v>
      </c>
      <c r="B16" s="18"/>
      <c r="C16" s="28">
        <f ca="1">+C8+C12</f>
        <v>3.0933177735341055</v>
      </c>
      <c r="E16" s="25" t="s">
        <v>43</v>
      </c>
      <c r="F16" s="26">
        <f ca="1">NOW()+15018.5+$C$5/24</f>
        <v>60328.736045370366</v>
      </c>
    </row>
    <row r="17" spans="1:21" ht="13.5" thickBot="1" x14ac:dyDescent="0.25">
      <c r="A17" s="25" t="s">
        <v>30</v>
      </c>
      <c r="B17" s="18"/>
      <c r="C17" s="18">
        <f>COUNT(C21:C2191)</f>
        <v>73</v>
      </c>
      <c r="E17" s="25" t="s">
        <v>50</v>
      </c>
      <c r="F17" s="26">
        <f ca="1">ROUND(2*(F16-$C$7)/$C$8,0)/2+F15</f>
        <v>6190.5</v>
      </c>
    </row>
    <row r="18" spans="1:21" ht="14.25" thickTop="1" thickBot="1" x14ac:dyDescent="0.25">
      <c r="A18" s="27" t="s">
        <v>7</v>
      </c>
      <c r="B18" s="18"/>
      <c r="C18" s="30">
        <f ca="1">+C15</f>
        <v>59512.447123177481</v>
      </c>
      <c r="D18" s="31">
        <f ca="1">+C16</f>
        <v>3.0933177735341055</v>
      </c>
      <c r="E18" s="25" t="s">
        <v>44</v>
      </c>
      <c r="F18" s="22">
        <f ca="1">ROUND(2*(F16-$C$15)/$C$16,0)/2+F15</f>
        <v>265</v>
      </c>
    </row>
    <row r="19" spans="1:21" ht="13.5" thickTop="1" x14ac:dyDescent="0.2">
      <c r="E19" s="25" t="s">
        <v>45</v>
      </c>
      <c r="F19" s="29">
        <f ca="1">+$C$15+$C$16*F18-15018.5-$C$5/24</f>
        <v>45314.072166497353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61</v>
      </c>
      <c r="I20" s="7" t="s">
        <v>52</v>
      </c>
      <c r="J20" s="7" t="s">
        <v>58</v>
      </c>
      <c r="K20" s="7" t="s">
        <v>56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R20" s="3"/>
      <c r="U20" s="51" t="s">
        <v>306</v>
      </c>
    </row>
    <row r="21" spans="1:21" x14ac:dyDescent="0.2">
      <c r="A21" s="47" t="s">
        <v>70</v>
      </c>
      <c r="B21" s="48" t="s">
        <v>33</v>
      </c>
      <c r="C21" s="47">
        <v>17474.23</v>
      </c>
      <c r="D21" s="47" t="s">
        <v>52</v>
      </c>
      <c r="E21">
        <f t="shared" ref="E21:E52" si="0">+(C21-C$7)/C$8</f>
        <v>-7663.8316979651127</v>
      </c>
      <c r="F21">
        <f t="shared" ref="F21:F52" si="1">ROUND(2*E21,0)/2</f>
        <v>-7664</v>
      </c>
      <c r="G21">
        <f t="shared" ref="G21:G61" si="2">+C21-(C$7+F21*C$8)</f>
        <v>0.5206240000006801</v>
      </c>
      <c r="I21">
        <f t="shared" ref="I21:I39" si="3">G21</f>
        <v>0.5206240000006801</v>
      </c>
      <c r="O21">
        <f t="shared" ref="O21:O52" ca="1" si="4">+C$11+C$12*$F21</f>
        <v>0.54920484898529587</v>
      </c>
      <c r="Q21" s="2">
        <f t="shared" ref="Q21:Q52" si="5">+C21-15018.5</f>
        <v>2455.7299999999996</v>
      </c>
      <c r="R21" s="2"/>
    </row>
    <row r="22" spans="1:21" x14ac:dyDescent="0.2">
      <c r="A22" s="49" t="s">
        <v>75</v>
      </c>
      <c r="B22" s="50" t="s">
        <v>33</v>
      </c>
      <c r="C22" s="49">
        <v>27722.32</v>
      </c>
      <c r="D22" s="49" t="s">
        <v>52</v>
      </c>
      <c r="E22">
        <f t="shared" si="0"/>
        <v>-4350.9333285058365</v>
      </c>
      <c r="F22">
        <f t="shared" si="1"/>
        <v>-4351</v>
      </c>
      <c r="G22">
        <f t="shared" si="2"/>
        <v>0.20624099999986356</v>
      </c>
      <c r="I22">
        <f t="shared" si="3"/>
        <v>0.20624099999986356</v>
      </c>
      <c r="O22">
        <f t="shared" ca="1" si="4"/>
        <v>0.30660556747733919</v>
      </c>
      <c r="Q22" s="2">
        <f t="shared" si="5"/>
        <v>12703.82</v>
      </c>
      <c r="R22" s="2"/>
    </row>
    <row r="23" spans="1:21" x14ac:dyDescent="0.2">
      <c r="A23" s="49" t="s">
        <v>70</v>
      </c>
      <c r="B23" s="50" t="s">
        <v>33</v>
      </c>
      <c r="C23" s="49">
        <v>27722.48</v>
      </c>
      <c r="D23" s="49" t="s">
        <v>52</v>
      </c>
      <c r="E23">
        <f t="shared" si="0"/>
        <v>-4350.8816053321416</v>
      </c>
      <c r="F23">
        <f t="shared" si="1"/>
        <v>-4351</v>
      </c>
      <c r="G23">
        <f t="shared" si="2"/>
        <v>0.36624099999971804</v>
      </c>
      <c r="I23">
        <f t="shared" si="3"/>
        <v>0.36624099999971804</v>
      </c>
      <c r="O23">
        <f t="shared" ca="1" si="4"/>
        <v>0.30660556747733919</v>
      </c>
      <c r="Q23" s="2">
        <f t="shared" si="5"/>
        <v>12703.98</v>
      </c>
      <c r="R23" s="2"/>
    </row>
    <row r="24" spans="1:21" x14ac:dyDescent="0.2">
      <c r="A24" s="49" t="s">
        <v>75</v>
      </c>
      <c r="B24" s="50" t="s">
        <v>33</v>
      </c>
      <c r="C24" s="49">
        <v>27784.18</v>
      </c>
      <c r="D24" s="49" t="s">
        <v>52</v>
      </c>
      <c r="E24">
        <f t="shared" si="0"/>
        <v>-4330.9358564759514</v>
      </c>
      <c r="F24">
        <f t="shared" si="1"/>
        <v>-4331</v>
      </c>
      <c r="G24">
        <f t="shared" si="2"/>
        <v>0.19842100000096252</v>
      </c>
      <c r="I24">
        <f t="shared" si="3"/>
        <v>0.19842100000096252</v>
      </c>
      <c r="O24">
        <f t="shared" ca="1" si="4"/>
        <v>0.30514103815945232</v>
      </c>
      <c r="Q24" s="2">
        <f t="shared" si="5"/>
        <v>12765.68</v>
      </c>
      <c r="R24" s="2"/>
    </row>
    <row r="25" spans="1:21" x14ac:dyDescent="0.2">
      <c r="A25" s="49" t="s">
        <v>70</v>
      </c>
      <c r="B25" s="50" t="s">
        <v>33</v>
      </c>
      <c r="C25" s="49">
        <v>28081.24</v>
      </c>
      <c r="D25" s="49" t="s">
        <v>52</v>
      </c>
      <c r="E25">
        <f t="shared" si="0"/>
        <v>-4234.9053191142011</v>
      </c>
      <c r="F25">
        <f t="shared" si="1"/>
        <v>-4235</v>
      </c>
      <c r="G25">
        <f t="shared" si="2"/>
        <v>0.29288500000257045</v>
      </c>
      <c r="I25">
        <f t="shared" si="3"/>
        <v>0.29288500000257045</v>
      </c>
      <c r="O25">
        <f t="shared" ca="1" si="4"/>
        <v>0.29811129743359543</v>
      </c>
      <c r="Q25" s="2">
        <f t="shared" si="5"/>
        <v>13062.740000000002</v>
      </c>
      <c r="R25" s="2"/>
    </row>
    <row r="26" spans="1:21" x14ac:dyDescent="0.2">
      <c r="A26" s="49" t="s">
        <v>70</v>
      </c>
      <c r="B26" s="50" t="s">
        <v>33</v>
      </c>
      <c r="C26" s="49">
        <v>28573.09</v>
      </c>
      <c r="D26" s="49" t="s">
        <v>52</v>
      </c>
      <c r="E26">
        <f t="shared" si="0"/>
        <v>-4075.905050476968</v>
      </c>
      <c r="F26">
        <f t="shared" si="1"/>
        <v>-4076</v>
      </c>
      <c r="G26">
        <f t="shared" si="2"/>
        <v>0.2937160000037693</v>
      </c>
      <c r="I26">
        <f t="shared" si="3"/>
        <v>0.2937160000037693</v>
      </c>
      <c r="O26">
        <f t="shared" ca="1" si="4"/>
        <v>0.28646828935639496</v>
      </c>
      <c r="Q26" s="2">
        <f t="shared" si="5"/>
        <v>13554.59</v>
      </c>
      <c r="R26" s="2"/>
    </row>
    <row r="27" spans="1:21" x14ac:dyDescent="0.2">
      <c r="A27" s="49" t="s">
        <v>75</v>
      </c>
      <c r="B27" s="50" t="s">
        <v>33</v>
      </c>
      <c r="C27" s="49">
        <v>28573.200000000001</v>
      </c>
      <c r="D27" s="49" t="s">
        <v>52</v>
      </c>
      <c r="E27">
        <f t="shared" si="0"/>
        <v>-4075.8694907950526</v>
      </c>
      <c r="F27">
        <f t="shared" si="1"/>
        <v>-4076</v>
      </c>
      <c r="G27">
        <f t="shared" si="2"/>
        <v>0.40371600000435137</v>
      </c>
      <c r="I27">
        <f t="shared" si="3"/>
        <v>0.40371600000435137</v>
      </c>
      <c r="O27">
        <f t="shared" ca="1" si="4"/>
        <v>0.28646828935639496</v>
      </c>
      <c r="Q27" s="2">
        <f t="shared" si="5"/>
        <v>13554.7</v>
      </c>
      <c r="R27" s="2"/>
    </row>
    <row r="28" spans="1:21" x14ac:dyDescent="0.2">
      <c r="A28" s="49" t="s">
        <v>75</v>
      </c>
      <c r="B28" s="50" t="s">
        <v>33</v>
      </c>
      <c r="C28" s="49">
        <v>28576.22</v>
      </c>
      <c r="D28" s="49" t="s">
        <v>52</v>
      </c>
      <c r="E28">
        <f t="shared" si="0"/>
        <v>-4074.8932158915563</v>
      </c>
      <c r="F28">
        <f t="shared" si="1"/>
        <v>-4075</v>
      </c>
      <c r="G28">
        <f t="shared" si="2"/>
        <v>0.33032500000263099</v>
      </c>
      <c r="I28">
        <f t="shared" si="3"/>
        <v>0.33032500000263099</v>
      </c>
      <c r="O28">
        <f t="shared" ca="1" si="4"/>
        <v>0.28639506289050065</v>
      </c>
      <c r="Q28" s="2">
        <f t="shared" si="5"/>
        <v>13557.720000000001</v>
      </c>
      <c r="R28" s="2"/>
    </row>
    <row r="29" spans="1:21" x14ac:dyDescent="0.2">
      <c r="A29" s="49" t="s">
        <v>70</v>
      </c>
      <c r="B29" s="50" t="s">
        <v>33</v>
      </c>
      <c r="C29" s="49">
        <v>28749.4</v>
      </c>
      <c r="D29" s="49" t="s">
        <v>52</v>
      </c>
      <c r="E29">
        <f t="shared" si="0"/>
        <v>-4018.909345763273</v>
      </c>
      <c r="F29">
        <f t="shared" si="1"/>
        <v>-4019</v>
      </c>
      <c r="G29">
        <f t="shared" si="2"/>
        <v>0.28042900000218651</v>
      </c>
      <c r="I29">
        <f t="shared" si="3"/>
        <v>0.28042900000218651</v>
      </c>
      <c r="O29">
        <f t="shared" ca="1" si="4"/>
        <v>0.28229438080041747</v>
      </c>
      <c r="Q29" s="2">
        <f t="shared" si="5"/>
        <v>13730.900000000001</v>
      </c>
      <c r="R29" s="2"/>
    </row>
    <row r="30" spans="1:21" x14ac:dyDescent="0.2">
      <c r="A30" s="49" t="s">
        <v>70</v>
      </c>
      <c r="B30" s="50" t="s">
        <v>33</v>
      </c>
      <c r="C30" s="49">
        <v>28774.19</v>
      </c>
      <c r="D30" s="49" t="s">
        <v>52</v>
      </c>
      <c r="E30">
        <f t="shared" si="0"/>
        <v>-4010.8954865388823</v>
      </c>
      <c r="F30">
        <f t="shared" si="1"/>
        <v>-4011</v>
      </c>
      <c r="G30">
        <f t="shared" si="2"/>
        <v>0.323301000000356</v>
      </c>
      <c r="I30">
        <f t="shared" si="3"/>
        <v>0.323301000000356</v>
      </c>
      <c r="O30">
        <f t="shared" ca="1" si="4"/>
        <v>0.28170856907326269</v>
      </c>
      <c r="Q30" s="2">
        <f t="shared" si="5"/>
        <v>13755.689999999999</v>
      </c>
      <c r="R30" s="2"/>
    </row>
    <row r="31" spans="1:21" x14ac:dyDescent="0.2">
      <c r="A31" s="49" t="s">
        <v>70</v>
      </c>
      <c r="B31" s="50" t="s">
        <v>33</v>
      </c>
      <c r="C31" s="49">
        <v>29547.5</v>
      </c>
      <c r="D31" s="49" t="s">
        <v>52</v>
      </c>
      <c r="E31">
        <f t="shared" si="0"/>
        <v>-3760.9076899751758</v>
      </c>
      <c r="F31">
        <f t="shared" si="1"/>
        <v>-3761</v>
      </c>
      <c r="G31">
        <f t="shared" si="2"/>
        <v>0.28555100000085076</v>
      </c>
      <c r="I31">
        <f t="shared" si="3"/>
        <v>0.28555100000085076</v>
      </c>
      <c r="O31">
        <f t="shared" ca="1" si="4"/>
        <v>0.26340195259967708</v>
      </c>
      <c r="Q31" s="2">
        <f t="shared" si="5"/>
        <v>14529</v>
      </c>
      <c r="R31" s="2"/>
    </row>
    <row r="32" spans="1:21" x14ac:dyDescent="0.2">
      <c r="A32" s="49" t="s">
        <v>70</v>
      </c>
      <c r="B32" s="50" t="s">
        <v>33</v>
      </c>
      <c r="C32" s="49">
        <v>29872.3</v>
      </c>
      <c r="D32" s="49" t="s">
        <v>52</v>
      </c>
      <c r="E32">
        <f t="shared" si="0"/>
        <v>-3655.9096473740306</v>
      </c>
      <c r="F32">
        <f t="shared" si="1"/>
        <v>-3656</v>
      </c>
      <c r="G32">
        <f t="shared" si="2"/>
        <v>0.27949599999919883</v>
      </c>
      <c r="I32">
        <f t="shared" si="3"/>
        <v>0.27949599999919883</v>
      </c>
      <c r="O32">
        <f t="shared" ca="1" si="4"/>
        <v>0.25571317368077112</v>
      </c>
      <c r="Q32" s="2">
        <f t="shared" si="5"/>
        <v>14853.8</v>
      </c>
      <c r="R32" s="2"/>
    </row>
    <row r="33" spans="1:19" x14ac:dyDescent="0.2">
      <c r="A33" s="49" t="s">
        <v>107</v>
      </c>
      <c r="B33" s="50" t="s">
        <v>33</v>
      </c>
      <c r="C33" s="49">
        <v>30642.571</v>
      </c>
      <c r="D33" s="49" t="s">
        <v>52</v>
      </c>
      <c r="E33">
        <f t="shared" si="0"/>
        <v>-3406.9042678406963</v>
      </c>
      <c r="F33">
        <f t="shared" si="1"/>
        <v>-3407</v>
      </c>
      <c r="G33">
        <f t="shared" si="2"/>
        <v>0.29613700000118115</v>
      </c>
      <c r="I33">
        <f t="shared" si="3"/>
        <v>0.29613700000118115</v>
      </c>
      <c r="O33">
        <f t="shared" ca="1" si="4"/>
        <v>0.23747978367307984</v>
      </c>
      <c r="Q33" s="2">
        <f t="shared" si="5"/>
        <v>15624.071</v>
      </c>
      <c r="R33" s="2"/>
    </row>
    <row r="34" spans="1:19" x14ac:dyDescent="0.2">
      <c r="A34" s="49" t="s">
        <v>107</v>
      </c>
      <c r="B34" s="50" t="s">
        <v>33</v>
      </c>
      <c r="C34" s="49">
        <v>31381.837</v>
      </c>
      <c r="D34" s="49" t="s">
        <v>52</v>
      </c>
      <c r="E34">
        <f t="shared" si="0"/>
        <v>-3167.9218695599743</v>
      </c>
      <c r="F34">
        <f t="shared" si="1"/>
        <v>-3168</v>
      </c>
      <c r="G34">
        <f t="shared" si="2"/>
        <v>0.24168800000188639</v>
      </c>
      <c r="I34">
        <f t="shared" si="3"/>
        <v>0.24168800000188639</v>
      </c>
      <c r="O34">
        <f t="shared" ca="1" si="4"/>
        <v>0.21997865832433197</v>
      </c>
      <c r="Q34" s="2">
        <f t="shared" si="5"/>
        <v>16363.337</v>
      </c>
      <c r="R34" s="2"/>
    </row>
    <row r="35" spans="1:19" x14ac:dyDescent="0.2">
      <c r="A35" s="49" t="s">
        <v>107</v>
      </c>
      <c r="B35" s="50" t="s">
        <v>33</v>
      </c>
      <c r="C35" s="49">
        <v>31703.562000000002</v>
      </c>
      <c r="D35" s="49" t="s">
        <v>52</v>
      </c>
      <c r="E35">
        <f t="shared" si="0"/>
        <v>-3063.9178817032821</v>
      </c>
      <c r="F35">
        <f t="shared" si="1"/>
        <v>-3064</v>
      </c>
      <c r="G35">
        <f t="shared" si="2"/>
        <v>0.25402400000530179</v>
      </c>
      <c r="I35">
        <f t="shared" si="3"/>
        <v>0.25402400000530179</v>
      </c>
      <c r="O35">
        <f t="shared" ca="1" si="4"/>
        <v>0.21236310587132035</v>
      </c>
      <c r="Q35" s="2">
        <f t="shared" si="5"/>
        <v>16685.062000000002</v>
      </c>
      <c r="R35" s="2"/>
    </row>
    <row r="36" spans="1:19" x14ac:dyDescent="0.2">
      <c r="A36" s="49" t="s">
        <v>107</v>
      </c>
      <c r="B36" s="50" t="s">
        <v>33</v>
      </c>
      <c r="C36" s="49">
        <v>32009.815999999999</v>
      </c>
      <c r="D36" s="49" t="s">
        <v>52</v>
      </c>
      <c r="E36">
        <f t="shared" si="0"/>
        <v>-2964.9152014730757</v>
      </c>
      <c r="F36">
        <f t="shared" si="1"/>
        <v>-2965</v>
      </c>
      <c r="G36">
        <f t="shared" si="2"/>
        <v>0.26231499999994412</v>
      </c>
      <c r="I36">
        <f t="shared" si="3"/>
        <v>0.26231499999994412</v>
      </c>
      <c r="O36">
        <f t="shared" ca="1" si="4"/>
        <v>0.20511368574778044</v>
      </c>
      <c r="Q36" s="2">
        <f t="shared" si="5"/>
        <v>16991.315999999999</v>
      </c>
      <c r="R36" s="2"/>
    </row>
    <row r="37" spans="1:19" x14ac:dyDescent="0.2">
      <c r="A37" s="49" t="s">
        <v>107</v>
      </c>
      <c r="B37" s="50" t="s">
        <v>33</v>
      </c>
      <c r="C37" s="49">
        <v>32501.627</v>
      </c>
      <c r="D37" s="49" t="s">
        <v>52</v>
      </c>
      <c r="E37">
        <f t="shared" si="0"/>
        <v>-2805.9275403594302</v>
      </c>
      <c r="F37">
        <f t="shared" si="1"/>
        <v>-2806</v>
      </c>
      <c r="G37">
        <f t="shared" si="2"/>
        <v>0.22414600000047358</v>
      </c>
      <c r="I37">
        <f t="shared" si="3"/>
        <v>0.22414600000047358</v>
      </c>
      <c r="O37">
        <f t="shared" ca="1" si="4"/>
        <v>0.19347067767057999</v>
      </c>
      <c r="Q37" s="2">
        <f t="shared" si="5"/>
        <v>17483.127</v>
      </c>
      <c r="R37" s="2"/>
    </row>
    <row r="38" spans="1:19" x14ac:dyDescent="0.2">
      <c r="A38" s="49" t="s">
        <v>107</v>
      </c>
      <c r="B38" s="50" t="s">
        <v>33</v>
      </c>
      <c r="C38" s="49">
        <v>32708.883000000002</v>
      </c>
      <c r="D38" s="49" t="s">
        <v>52</v>
      </c>
      <c r="E38">
        <f t="shared" si="0"/>
        <v>-2738.927927313423</v>
      </c>
      <c r="F38">
        <f t="shared" si="1"/>
        <v>-2739</v>
      </c>
      <c r="G38">
        <f t="shared" si="2"/>
        <v>0.2229490000026999</v>
      </c>
      <c r="I38">
        <f t="shared" si="3"/>
        <v>0.2229490000026999</v>
      </c>
      <c r="O38">
        <f t="shared" ca="1" si="4"/>
        <v>0.18856450445565903</v>
      </c>
      <c r="Q38" s="2">
        <f t="shared" si="5"/>
        <v>17690.383000000002</v>
      </c>
      <c r="R38" s="2"/>
    </row>
    <row r="39" spans="1:19" x14ac:dyDescent="0.2">
      <c r="A39" s="49" t="s">
        <v>107</v>
      </c>
      <c r="B39" s="50" t="s">
        <v>33</v>
      </c>
      <c r="C39" s="49">
        <v>33101.701999999997</v>
      </c>
      <c r="D39" s="49" t="s">
        <v>52</v>
      </c>
      <c r="E39">
        <f t="shared" si="0"/>
        <v>-2611.9413937649656</v>
      </c>
      <c r="F39">
        <f t="shared" si="1"/>
        <v>-2612</v>
      </c>
      <c r="G39">
        <f t="shared" si="2"/>
        <v>0.18129200000112178</v>
      </c>
      <c r="I39">
        <f t="shared" si="3"/>
        <v>0.18129200000112178</v>
      </c>
      <c r="O39">
        <f t="shared" ca="1" si="4"/>
        <v>0.17926474328707753</v>
      </c>
      <c r="Q39" s="2">
        <f t="shared" si="5"/>
        <v>18083.201999999997</v>
      </c>
      <c r="R39" s="2"/>
    </row>
    <row r="40" spans="1:19" x14ac:dyDescent="0.2">
      <c r="A40" s="11" t="s">
        <v>37</v>
      </c>
      <c r="C40" s="10">
        <v>33284.23936</v>
      </c>
      <c r="D40" s="10"/>
      <c r="E40">
        <f t="shared" si="0"/>
        <v>-2552.9325714078818</v>
      </c>
      <c r="F40">
        <f t="shared" si="1"/>
        <v>-2553</v>
      </c>
      <c r="G40">
        <f t="shared" si="2"/>
        <v>0.20858299999963492</v>
      </c>
      <c r="J40">
        <f>G40</f>
        <v>0.20858299999963492</v>
      </c>
      <c r="O40">
        <f t="shared" ca="1" si="4"/>
        <v>0.17494438179931132</v>
      </c>
      <c r="Q40" s="2">
        <f t="shared" si="5"/>
        <v>18265.73936</v>
      </c>
      <c r="R40" s="2"/>
      <c r="S40" s="16" t="s">
        <v>38</v>
      </c>
    </row>
    <row r="41" spans="1:19" x14ac:dyDescent="0.2">
      <c r="A41" s="49" t="s">
        <v>107</v>
      </c>
      <c r="B41" s="50" t="s">
        <v>33</v>
      </c>
      <c r="C41" s="49">
        <v>33503.845999999998</v>
      </c>
      <c r="D41" s="49" t="s">
        <v>52</v>
      </c>
      <c r="E41">
        <f t="shared" si="0"/>
        <v>-2481.940368999587</v>
      </c>
      <c r="F41">
        <f t="shared" si="1"/>
        <v>-2482</v>
      </c>
      <c r="G41">
        <f t="shared" si="2"/>
        <v>0.1844619999974384</v>
      </c>
      <c r="I41">
        <f t="shared" ref="I41:I53" si="6">G41</f>
        <v>0.1844619999974384</v>
      </c>
      <c r="O41">
        <f t="shared" ca="1" si="4"/>
        <v>0.16974530272081301</v>
      </c>
      <c r="Q41" s="2">
        <f t="shared" si="5"/>
        <v>18485.345999999998</v>
      </c>
      <c r="R41" s="2"/>
    </row>
    <row r="42" spans="1:19" x14ac:dyDescent="0.2">
      <c r="A42" s="49" t="s">
        <v>107</v>
      </c>
      <c r="B42" s="50" t="s">
        <v>33</v>
      </c>
      <c r="C42" s="49">
        <v>34360.703999999998</v>
      </c>
      <c r="D42" s="49" t="s">
        <v>52</v>
      </c>
      <c r="E42">
        <f t="shared" si="0"/>
        <v>-2204.9440242116179</v>
      </c>
      <c r="F42">
        <f t="shared" si="1"/>
        <v>-2205</v>
      </c>
      <c r="G42">
        <f t="shared" si="2"/>
        <v>0.17315499999676831</v>
      </c>
      <c r="I42">
        <f t="shared" si="6"/>
        <v>0.17315499999676831</v>
      </c>
      <c r="O42">
        <f t="shared" ca="1" si="4"/>
        <v>0.14946157166808013</v>
      </c>
      <c r="Q42" s="2">
        <f t="shared" si="5"/>
        <v>19342.203999999998</v>
      </c>
      <c r="R42" s="2"/>
    </row>
    <row r="43" spans="1:19" x14ac:dyDescent="0.2">
      <c r="A43" s="49" t="s">
        <v>107</v>
      </c>
      <c r="B43" s="50" t="s">
        <v>33</v>
      </c>
      <c r="C43" s="49">
        <v>35118.625</v>
      </c>
      <c r="D43" s="49" t="s">
        <v>52</v>
      </c>
      <c r="E43">
        <f t="shared" si="0"/>
        <v>-1959.9310271478771</v>
      </c>
      <c r="F43">
        <f t="shared" si="1"/>
        <v>-1960</v>
      </c>
      <c r="G43">
        <f t="shared" si="2"/>
        <v>0.21336000000155764</v>
      </c>
      <c r="I43">
        <f t="shared" si="6"/>
        <v>0.21336000000155764</v>
      </c>
      <c r="O43">
        <f t="shared" ca="1" si="4"/>
        <v>0.13152108752396621</v>
      </c>
      <c r="Q43" s="2">
        <f t="shared" si="5"/>
        <v>20100.125</v>
      </c>
      <c r="R43" s="2"/>
    </row>
    <row r="44" spans="1:19" x14ac:dyDescent="0.2">
      <c r="A44" s="49" t="s">
        <v>139</v>
      </c>
      <c r="B44" s="50" t="s">
        <v>33</v>
      </c>
      <c r="C44" s="49">
        <v>35477.370000000003</v>
      </c>
      <c r="D44" s="49" t="s">
        <v>52</v>
      </c>
      <c r="E44">
        <f t="shared" si="0"/>
        <v>-1843.9595899774702</v>
      </c>
      <c r="F44">
        <f t="shared" si="1"/>
        <v>-1844</v>
      </c>
      <c r="G44">
        <f t="shared" si="2"/>
        <v>0.12500400000135414</v>
      </c>
      <c r="I44">
        <f t="shared" si="6"/>
        <v>0.12500400000135414</v>
      </c>
      <c r="O44">
        <f t="shared" ca="1" si="4"/>
        <v>0.12302681748022248</v>
      </c>
      <c r="Q44" s="2">
        <f t="shared" si="5"/>
        <v>20458.870000000003</v>
      </c>
      <c r="R44" s="2"/>
    </row>
    <row r="45" spans="1:19" x14ac:dyDescent="0.2">
      <c r="A45" s="49" t="s">
        <v>144</v>
      </c>
      <c r="B45" s="50" t="s">
        <v>33</v>
      </c>
      <c r="C45" s="49">
        <v>37367.375</v>
      </c>
      <c r="D45" s="49" t="s">
        <v>52</v>
      </c>
      <c r="E45">
        <f t="shared" si="0"/>
        <v>-1232.9779843543861</v>
      </c>
      <c r="F45">
        <f t="shared" si="1"/>
        <v>-1233</v>
      </c>
      <c r="G45">
        <f t="shared" si="2"/>
        <v>6.8102999997790903E-2</v>
      </c>
      <c r="I45">
        <f t="shared" si="6"/>
        <v>6.8102999997790903E-2</v>
      </c>
      <c r="O45">
        <f t="shared" ca="1" si="4"/>
        <v>7.8285446818779192E-2</v>
      </c>
      <c r="Q45" s="2">
        <f t="shared" si="5"/>
        <v>22348.875</v>
      </c>
      <c r="R45" s="2"/>
    </row>
    <row r="46" spans="1:19" x14ac:dyDescent="0.2">
      <c r="A46" s="49" t="s">
        <v>149</v>
      </c>
      <c r="B46" s="50" t="s">
        <v>33</v>
      </c>
      <c r="C46" s="49">
        <v>38759.326999999997</v>
      </c>
      <c r="D46" s="49" t="s">
        <v>52</v>
      </c>
      <c r="E46">
        <f t="shared" si="0"/>
        <v>-783.00189015872911</v>
      </c>
      <c r="F46">
        <f t="shared" si="1"/>
        <v>-783</v>
      </c>
      <c r="G46">
        <f t="shared" si="2"/>
        <v>-5.8470000003580935E-3</v>
      </c>
      <c r="I46">
        <f t="shared" si="6"/>
        <v>-5.8470000003580935E-3</v>
      </c>
      <c r="O46">
        <f t="shared" ca="1" si="4"/>
        <v>4.5333537166325058E-2</v>
      </c>
      <c r="Q46" s="2">
        <f t="shared" si="5"/>
        <v>23740.826999999997</v>
      </c>
      <c r="R46" s="2"/>
    </row>
    <row r="47" spans="1:19" x14ac:dyDescent="0.2">
      <c r="A47" s="49" t="s">
        <v>149</v>
      </c>
      <c r="B47" s="50" t="s">
        <v>33</v>
      </c>
      <c r="C47" s="49">
        <v>39056.303</v>
      </c>
      <c r="D47" s="49" t="s">
        <v>52</v>
      </c>
      <c r="E47">
        <f t="shared" si="0"/>
        <v>-686.99850746316872</v>
      </c>
      <c r="F47">
        <f t="shared" si="1"/>
        <v>-687</v>
      </c>
      <c r="G47">
        <f t="shared" si="2"/>
        <v>4.6169999986886978E-3</v>
      </c>
      <c r="I47">
        <f t="shared" si="6"/>
        <v>4.6169999986886978E-3</v>
      </c>
      <c r="O47">
        <f t="shared" ca="1" si="4"/>
        <v>3.8303796440468177E-2</v>
      </c>
      <c r="Q47" s="2">
        <f t="shared" si="5"/>
        <v>24037.803</v>
      </c>
      <c r="R47" s="2"/>
    </row>
    <row r="48" spans="1:19" x14ac:dyDescent="0.2">
      <c r="A48" s="49" t="s">
        <v>144</v>
      </c>
      <c r="B48" s="50" t="s">
        <v>33</v>
      </c>
      <c r="C48" s="49">
        <v>39056.455000000002</v>
      </c>
      <c r="D48" s="49" t="s">
        <v>52</v>
      </c>
      <c r="E48">
        <f t="shared" si="0"/>
        <v>-686.94937044815765</v>
      </c>
      <c r="F48">
        <f t="shared" si="1"/>
        <v>-687</v>
      </c>
      <c r="G48">
        <f t="shared" si="2"/>
        <v>0.15661700000055134</v>
      </c>
      <c r="I48">
        <f t="shared" si="6"/>
        <v>0.15661700000055134</v>
      </c>
      <c r="O48">
        <f t="shared" ca="1" si="4"/>
        <v>3.8303796440468177E-2</v>
      </c>
      <c r="Q48" s="2">
        <f t="shared" si="5"/>
        <v>24037.955000000002</v>
      </c>
      <c r="R48" s="2"/>
    </row>
    <row r="49" spans="1:21" x14ac:dyDescent="0.2">
      <c r="A49" s="49" t="s">
        <v>144</v>
      </c>
      <c r="B49" s="50" t="s">
        <v>33</v>
      </c>
      <c r="C49" s="49">
        <v>39059.446000000004</v>
      </c>
      <c r="D49" s="49" t="s">
        <v>52</v>
      </c>
      <c r="E49">
        <f t="shared" si="0"/>
        <v>-685.98247036989346</v>
      </c>
      <c r="F49">
        <f t="shared" si="1"/>
        <v>-686</v>
      </c>
      <c r="G49">
        <f t="shared" si="2"/>
        <v>5.4226000007474795E-2</v>
      </c>
      <c r="I49">
        <f t="shared" si="6"/>
        <v>5.4226000007474795E-2</v>
      </c>
      <c r="O49">
        <f t="shared" ca="1" si="4"/>
        <v>3.8230569974573837E-2</v>
      </c>
      <c r="Q49" s="2">
        <f t="shared" si="5"/>
        <v>24040.946000000004</v>
      </c>
      <c r="R49" s="2"/>
    </row>
    <row r="50" spans="1:21" x14ac:dyDescent="0.2">
      <c r="A50" s="49" t="s">
        <v>144</v>
      </c>
      <c r="B50" s="50" t="s">
        <v>33</v>
      </c>
      <c r="C50" s="49">
        <v>40151.379999999997</v>
      </c>
      <c r="D50" s="49" t="s">
        <v>52</v>
      </c>
      <c r="E50">
        <f t="shared" si="0"/>
        <v>-332.9931457096763</v>
      </c>
      <c r="F50">
        <f t="shared" si="1"/>
        <v>-333</v>
      </c>
      <c r="G50">
        <f t="shared" si="2"/>
        <v>2.1202999996603467E-2</v>
      </c>
      <c r="I50">
        <f t="shared" si="6"/>
        <v>2.1202999996603467E-2</v>
      </c>
      <c r="O50">
        <f t="shared" ca="1" si="4"/>
        <v>1.2381627513870924E-2</v>
      </c>
      <c r="Q50" s="2">
        <f t="shared" si="5"/>
        <v>25132.879999999997</v>
      </c>
      <c r="R50" s="2"/>
    </row>
    <row r="51" spans="1:21" x14ac:dyDescent="0.2">
      <c r="A51" s="49" t="s">
        <v>149</v>
      </c>
      <c r="B51" s="50" t="s">
        <v>33</v>
      </c>
      <c r="C51" s="49">
        <v>41181.409</v>
      </c>
      <c r="D51" s="49" t="s">
        <v>52</v>
      </c>
      <c r="E51">
        <f t="shared" si="0"/>
        <v>-1.5840221943837256E-2</v>
      </c>
      <c r="F51">
        <f t="shared" si="1"/>
        <v>0</v>
      </c>
      <c r="G51">
        <f t="shared" si="2"/>
        <v>-4.8999999999068677E-2</v>
      </c>
      <c r="I51">
        <f t="shared" si="6"/>
        <v>-4.8999999999068677E-2</v>
      </c>
      <c r="O51">
        <f t="shared" ca="1" si="4"/>
        <v>-1.2002785628945134E-2</v>
      </c>
      <c r="Q51" s="2">
        <f t="shared" si="5"/>
        <v>26162.909</v>
      </c>
      <c r="R51" s="2"/>
    </row>
    <row r="52" spans="1:21" x14ac:dyDescent="0.2">
      <c r="A52" s="49" t="s">
        <v>149</v>
      </c>
      <c r="B52" s="50" t="s">
        <v>33</v>
      </c>
      <c r="C52" s="49">
        <v>41181.442000000003</v>
      </c>
      <c r="D52" s="49" t="s">
        <v>52</v>
      </c>
      <c r="E52">
        <f t="shared" si="0"/>
        <v>-5.1723173682161972E-3</v>
      </c>
      <c r="F52">
        <f t="shared" si="1"/>
        <v>0</v>
      </c>
      <c r="G52">
        <f t="shared" si="2"/>
        <v>-1.5999999995983671E-2</v>
      </c>
      <c r="I52">
        <f t="shared" si="6"/>
        <v>-1.5999999995983671E-2</v>
      </c>
      <c r="O52">
        <f t="shared" ca="1" si="4"/>
        <v>-1.2002785628945134E-2</v>
      </c>
      <c r="Q52" s="2">
        <f t="shared" si="5"/>
        <v>26162.942000000003</v>
      </c>
      <c r="R52" s="2"/>
    </row>
    <row r="53" spans="1:21" x14ac:dyDescent="0.2">
      <c r="A53" s="49" t="s">
        <v>144</v>
      </c>
      <c r="B53" s="50" t="s">
        <v>33</v>
      </c>
      <c r="C53" s="49">
        <v>41181.453999999998</v>
      </c>
      <c r="D53" s="49" t="s">
        <v>52</v>
      </c>
      <c r="E53">
        <f t="shared" ref="E53:E84" si="7">+(C53-C$7)/C$8</f>
        <v>-1.2930793426420737E-3</v>
      </c>
      <c r="F53">
        <f t="shared" ref="F53:F84" si="8">ROUND(2*E53,0)/2</f>
        <v>0</v>
      </c>
      <c r="G53">
        <f t="shared" si="2"/>
        <v>-4.0000000008149073E-3</v>
      </c>
      <c r="I53">
        <f t="shared" si="6"/>
        <v>-4.0000000008149073E-3</v>
      </c>
      <c r="O53">
        <f t="shared" ref="O53:O84" ca="1" si="9">+C$11+C$12*$F53</f>
        <v>-1.2002785628945134E-2</v>
      </c>
      <c r="Q53" s="2">
        <f t="shared" ref="Q53:Q84" si="10">+C53-15018.5</f>
        <v>26162.953999999998</v>
      </c>
      <c r="R53" s="2"/>
    </row>
    <row r="54" spans="1:21" x14ac:dyDescent="0.2">
      <c r="A54" t="s">
        <v>14</v>
      </c>
      <c r="C54" s="10">
        <v>41181.457999999999</v>
      </c>
      <c r="D54" s="10" t="s">
        <v>16</v>
      </c>
      <c r="E54">
        <f t="shared" si="7"/>
        <v>0</v>
      </c>
      <c r="F54">
        <f t="shared" si="8"/>
        <v>0</v>
      </c>
      <c r="G54">
        <f t="shared" si="2"/>
        <v>0</v>
      </c>
      <c r="H54">
        <f>+G54</f>
        <v>0</v>
      </c>
      <c r="O54">
        <f t="shared" ca="1" si="9"/>
        <v>-1.2002785628945134E-2</v>
      </c>
      <c r="Q54" s="2">
        <f t="shared" si="10"/>
        <v>26162.957999999999</v>
      </c>
      <c r="R54" s="2"/>
    </row>
    <row r="55" spans="1:21" x14ac:dyDescent="0.2">
      <c r="A55" s="49" t="s">
        <v>149</v>
      </c>
      <c r="B55" s="50" t="s">
        <v>33</v>
      </c>
      <c r="C55" s="49">
        <v>41181.474999999999</v>
      </c>
      <c r="D55" s="49" t="s">
        <v>52</v>
      </c>
      <c r="E55">
        <f t="shared" si="7"/>
        <v>5.4955872050527644E-3</v>
      </c>
      <c r="F55">
        <f t="shared" si="8"/>
        <v>0</v>
      </c>
      <c r="G55">
        <f t="shared" si="2"/>
        <v>1.6999999999825377E-2</v>
      </c>
      <c r="I55">
        <f t="shared" ref="I55:I61" si="11">G55</f>
        <v>1.6999999999825377E-2</v>
      </c>
      <c r="O55">
        <f t="shared" ca="1" si="9"/>
        <v>-1.2002785628945134E-2</v>
      </c>
      <c r="Q55" s="2">
        <f t="shared" si="10"/>
        <v>26162.974999999999</v>
      </c>
      <c r="R55" s="2"/>
    </row>
    <row r="56" spans="1:21" x14ac:dyDescent="0.2">
      <c r="A56" s="49" t="s">
        <v>149</v>
      </c>
      <c r="B56" s="50" t="s">
        <v>33</v>
      </c>
      <c r="C56" s="49">
        <v>41181.508000000002</v>
      </c>
      <c r="D56" s="49" t="s">
        <v>52</v>
      </c>
      <c r="E56">
        <f t="shared" si="7"/>
        <v>1.6163491780673826E-2</v>
      </c>
      <c r="F56">
        <f t="shared" si="8"/>
        <v>0</v>
      </c>
      <c r="G56">
        <f t="shared" si="2"/>
        <v>5.0000000002910383E-2</v>
      </c>
      <c r="I56">
        <f t="shared" si="11"/>
        <v>5.0000000002910383E-2</v>
      </c>
      <c r="O56">
        <f t="shared" ca="1" si="9"/>
        <v>-1.2002785628945134E-2</v>
      </c>
      <c r="Q56" s="2">
        <f t="shared" si="10"/>
        <v>26163.008000000002</v>
      </c>
      <c r="R56" s="2"/>
    </row>
    <row r="57" spans="1:21" x14ac:dyDescent="0.2">
      <c r="A57" s="49" t="s">
        <v>149</v>
      </c>
      <c r="B57" s="50" t="s">
        <v>33</v>
      </c>
      <c r="C57" s="49">
        <v>41212.334000000003</v>
      </c>
      <c r="D57" s="49" t="s">
        <v>52</v>
      </c>
      <c r="E57">
        <f t="shared" si="7"/>
        <v>9.9812794438219559</v>
      </c>
      <c r="F57">
        <f t="shared" si="8"/>
        <v>10</v>
      </c>
      <c r="G57">
        <f t="shared" si="2"/>
        <v>-5.7909999995899852E-2</v>
      </c>
      <c r="I57">
        <f t="shared" si="11"/>
        <v>-5.7909999995899852E-2</v>
      </c>
      <c r="O57">
        <f t="shared" ca="1" si="9"/>
        <v>-1.273505028788856E-2</v>
      </c>
      <c r="Q57" s="2">
        <f t="shared" si="10"/>
        <v>26193.834000000003</v>
      </c>
      <c r="R57" s="2"/>
    </row>
    <row r="58" spans="1:21" x14ac:dyDescent="0.2">
      <c r="A58" s="49" t="s">
        <v>149</v>
      </c>
      <c r="B58" s="50" t="s">
        <v>33</v>
      </c>
      <c r="C58" s="49">
        <v>41240.286</v>
      </c>
      <c r="D58" s="49" t="s">
        <v>52</v>
      </c>
      <c r="E58">
        <f t="shared" si="7"/>
        <v>19.017317888363074</v>
      </c>
      <c r="F58">
        <f t="shared" si="8"/>
        <v>19</v>
      </c>
      <c r="G58">
        <f t="shared" si="2"/>
        <v>5.3571000004012603E-2</v>
      </c>
      <c r="I58">
        <f t="shared" si="11"/>
        <v>5.3571000004012603E-2</v>
      </c>
      <c r="O58">
        <f t="shared" ca="1" si="9"/>
        <v>-1.3394088480937642E-2</v>
      </c>
      <c r="Q58" s="2">
        <f t="shared" si="10"/>
        <v>26221.786</v>
      </c>
      <c r="R58" s="2"/>
    </row>
    <row r="59" spans="1:21" x14ac:dyDescent="0.2">
      <c r="A59" s="49" t="s">
        <v>149</v>
      </c>
      <c r="B59" s="50" t="s">
        <v>33</v>
      </c>
      <c r="C59" s="49">
        <v>41546.457000000002</v>
      </c>
      <c r="D59" s="49" t="s">
        <v>52</v>
      </c>
      <c r="E59">
        <f t="shared" si="7"/>
        <v>117.99316672221632</v>
      </c>
      <c r="F59">
        <f t="shared" si="8"/>
        <v>118</v>
      </c>
      <c r="G59">
        <f t="shared" si="2"/>
        <v>-2.1137999996426515E-2</v>
      </c>
      <c r="I59">
        <f t="shared" si="11"/>
        <v>-2.1137999996426515E-2</v>
      </c>
      <c r="O59">
        <f t="shared" ca="1" si="9"/>
        <v>-2.0643508604477549E-2</v>
      </c>
      <c r="Q59" s="2">
        <f t="shared" si="10"/>
        <v>26527.957000000002</v>
      </c>
      <c r="R59" s="2"/>
    </row>
    <row r="60" spans="1:21" x14ac:dyDescent="0.2">
      <c r="A60" s="49" t="s">
        <v>149</v>
      </c>
      <c r="B60" s="50" t="s">
        <v>33</v>
      </c>
      <c r="C60" s="49">
        <v>41546.489000000001</v>
      </c>
      <c r="D60" s="49" t="s">
        <v>52</v>
      </c>
      <c r="E60">
        <f t="shared" si="7"/>
        <v>118.0035113569551</v>
      </c>
      <c r="F60">
        <f t="shared" si="8"/>
        <v>118</v>
      </c>
      <c r="G60">
        <f t="shared" si="2"/>
        <v>1.0862000002816785E-2</v>
      </c>
      <c r="I60">
        <f t="shared" si="11"/>
        <v>1.0862000002816785E-2</v>
      </c>
      <c r="O60">
        <f t="shared" ca="1" si="9"/>
        <v>-2.0643508604477549E-2</v>
      </c>
      <c r="Q60" s="2">
        <f t="shared" si="10"/>
        <v>26527.989000000001</v>
      </c>
      <c r="R60" s="2"/>
    </row>
    <row r="61" spans="1:21" x14ac:dyDescent="0.2">
      <c r="A61" s="49" t="s">
        <v>144</v>
      </c>
      <c r="B61" s="50" t="s">
        <v>33</v>
      </c>
      <c r="C61" s="49">
        <v>41973.332000000002</v>
      </c>
      <c r="D61" s="49" t="s">
        <v>52</v>
      </c>
      <c r="E61">
        <f t="shared" si="7"/>
        <v>255.98897779168666</v>
      </c>
      <c r="F61">
        <f t="shared" si="8"/>
        <v>256</v>
      </c>
      <c r="G61">
        <f t="shared" si="2"/>
        <v>-3.4095999995770399E-2</v>
      </c>
      <c r="I61">
        <f t="shared" si="11"/>
        <v>-3.4095999995770399E-2</v>
      </c>
      <c r="O61">
        <f t="shared" ca="1" si="9"/>
        <v>-3.0748760897896819E-2</v>
      </c>
      <c r="Q61" s="2">
        <f t="shared" si="10"/>
        <v>26954.832000000002</v>
      </c>
      <c r="R61" s="2"/>
    </row>
    <row r="62" spans="1:21" x14ac:dyDescent="0.2">
      <c r="A62" s="13" t="s">
        <v>48</v>
      </c>
      <c r="B62" s="12" t="s">
        <v>33</v>
      </c>
      <c r="C62" s="13">
        <v>52151.491430000002</v>
      </c>
      <c r="D62" s="13">
        <v>2.2000000000000001E-3</v>
      </c>
      <c r="E62">
        <f t="shared" si="7"/>
        <v>3546.2809033840222</v>
      </c>
      <c r="F62">
        <f t="shared" si="8"/>
        <v>3546.5</v>
      </c>
      <c r="O62">
        <f t="shared" ca="1" si="9"/>
        <v>-0.27170044692323086</v>
      </c>
      <c r="Q62" s="2">
        <f t="shared" si="10"/>
        <v>37132.991430000002</v>
      </c>
      <c r="R62" s="2"/>
      <c r="U62" s="22">
        <v>-0.67775149999943096</v>
      </c>
    </row>
    <row r="63" spans="1:21" x14ac:dyDescent="0.2">
      <c r="A63" s="49" t="s">
        <v>196</v>
      </c>
      <c r="B63" s="50" t="s">
        <v>33</v>
      </c>
      <c r="C63" s="49">
        <v>52617.478000000003</v>
      </c>
      <c r="D63" s="49" t="s">
        <v>52</v>
      </c>
      <c r="E63">
        <f t="shared" si="7"/>
        <v>3696.9203052572416</v>
      </c>
      <c r="F63">
        <f t="shared" si="8"/>
        <v>3697</v>
      </c>
      <c r="G63">
        <f t="shared" ref="G63:G90" si="12">+C63-(C$7+F63*C$8)</f>
        <v>-0.2465269999956945</v>
      </c>
      <c r="I63">
        <f>G63</f>
        <v>-0.2465269999956945</v>
      </c>
      <c r="O63">
        <f t="shared" ca="1" si="9"/>
        <v>-0.28272103004032945</v>
      </c>
      <c r="Q63" s="2">
        <f t="shared" si="10"/>
        <v>37598.978000000003</v>
      </c>
      <c r="R63" s="2"/>
    </row>
    <row r="64" spans="1:21" x14ac:dyDescent="0.2">
      <c r="A64" s="49" t="s">
        <v>196</v>
      </c>
      <c r="B64" s="50" t="s">
        <v>33</v>
      </c>
      <c r="C64" s="49">
        <v>52648.415000000001</v>
      </c>
      <c r="D64" s="49" t="s">
        <v>52</v>
      </c>
      <c r="E64">
        <f t="shared" si="7"/>
        <v>3706.9213041610328</v>
      </c>
      <c r="F64">
        <f t="shared" si="8"/>
        <v>3707</v>
      </c>
      <c r="G64">
        <f t="shared" si="12"/>
        <v>-0.24343699999735691</v>
      </c>
      <c r="I64">
        <f>G64</f>
        <v>-0.24343699999735691</v>
      </c>
      <c r="O64">
        <f t="shared" ca="1" si="9"/>
        <v>-0.28345329469927288</v>
      </c>
      <c r="Q64" s="2">
        <f t="shared" si="10"/>
        <v>37629.915000000001</v>
      </c>
      <c r="R64" s="2"/>
    </row>
    <row r="65" spans="1:19" x14ac:dyDescent="0.2">
      <c r="A65" s="11" t="s">
        <v>31</v>
      </c>
      <c r="B65" s="12"/>
      <c r="C65" s="13">
        <v>52982.456200000001</v>
      </c>
      <c r="D65" s="13">
        <v>8.0000000000000002E-3</v>
      </c>
      <c r="E65">
        <f t="shared" si="7"/>
        <v>3814.9067479668756</v>
      </c>
      <c r="F65">
        <f t="shared" si="8"/>
        <v>3815</v>
      </c>
      <c r="G65">
        <f t="shared" si="12"/>
        <v>-0.28846499999781372</v>
      </c>
      <c r="J65">
        <f>+G65</f>
        <v>-0.28846499999781372</v>
      </c>
      <c r="O65">
        <f t="shared" ca="1" si="9"/>
        <v>-0.29136175301586187</v>
      </c>
      <c r="Q65" s="2">
        <f t="shared" si="10"/>
        <v>37963.956200000001</v>
      </c>
      <c r="R65" s="2"/>
    </row>
    <row r="66" spans="1:19" x14ac:dyDescent="0.2">
      <c r="A66" s="52" t="s">
        <v>51</v>
      </c>
      <c r="B66" s="53" t="s">
        <v>33</v>
      </c>
      <c r="C66" s="52">
        <v>53248.481</v>
      </c>
      <c r="D66" s="52" t="s">
        <v>52</v>
      </c>
      <c r="E66">
        <f t="shared" si="7"/>
        <v>3900.9045413269778</v>
      </c>
      <c r="F66">
        <f t="shared" si="8"/>
        <v>3901</v>
      </c>
      <c r="G66">
        <f t="shared" si="12"/>
        <v>-0.29529100000218023</v>
      </c>
      <c r="I66">
        <f>G66</f>
        <v>-0.29529100000218023</v>
      </c>
      <c r="O66">
        <f t="shared" ca="1" si="9"/>
        <v>-0.29765922908277531</v>
      </c>
      <c r="Q66" s="2">
        <f t="shared" si="10"/>
        <v>38229.981</v>
      </c>
      <c r="R66" s="2"/>
    </row>
    <row r="67" spans="1:19" x14ac:dyDescent="0.2">
      <c r="A67" s="11" t="s">
        <v>32</v>
      </c>
      <c r="B67" s="12" t="s">
        <v>33</v>
      </c>
      <c r="C67" s="13">
        <v>53341.275699999998</v>
      </c>
      <c r="D67" s="13">
        <v>1.5E-3</v>
      </c>
      <c r="E67">
        <f t="shared" si="7"/>
        <v>3930.9022687400329</v>
      </c>
      <c r="F67">
        <f t="shared" si="8"/>
        <v>3931</v>
      </c>
      <c r="G67">
        <f t="shared" si="12"/>
        <v>-0.30232100000284845</v>
      </c>
      <c r="K67">
        <f>+G67</f>
        <v>-0.30232100000284845</v>
      </c>
      <c r="O67">
        <f t="shared" ca="1" si="9"/>
        <v>-0.29985602305960557</v>
      </c>
      <c r="Q67" s="2">
        <f t="shared" si="10"/>
        <v>38322.775699999998</v>
      </c>
      <c r="R67" s="2"/>
    </row>
    <row r="68" spans="1:19" x14ac:dyDescent="0.2">
      <c r="A68" s="49" t="s">
        <v>225</v>
      </c>
      <c r="B68" s="50" t="s">
        <v>33</v>
      </c>
      <c r="C68" s="49">
        <v>53579.459000000003</v>
      </c>
      <c r="D68" s="49" t="s">
        <v>52</v>
      </c>
      <c r="E68">
        <f t="shared" si="7"/>
        <v>4007.8997449724279</v>
      </c>
      <c r="F68">
        <f t="shared" si="8"/>
        <v>4008</v>
      </c>
      <c r="G68">
        <f t="shared" si="12"/>
        <v>-0.31012799999734852</v>
      </c>
      <c r="I68">
        <f>G68</f>
        <v>-0.31012799999734852</v>
      </c>
      <c r="O68">
        <f t="shared" ca="1" si="9"/>
        <v>-0.30549446093346994</v>
      </c>
      <c r="Q68" s="2">
        <f t="shared" si="10"/>
        <v>38560.959000000003</v>
      </c>
      <c r="R68" s="2"/>
    </row>
    <row r="69" spans="1:19" x14ac:dyDescent="0.2">
      <c r="A69" s="11" t="s">
        <v>34</v>
      </c>
      <c r="B69" s="14"/>
      <c r="C69" s="13">
        <v>53613.490100000003</v>
      </c>
      <c r="D69" s="13">
        <v>2.9999999999999997E-4</v>
      </c>
      <c r="E69">
        <f t="shared" si="7"/>
        <v>4018.9009730745333</v>
      </c>
      <c r="F69">
        <f t="shared" si="8"/>
        <v>4019</v>
      </c>
      <c r="G69">
        <f t="shared" si="12"/>
        <v>-0.30632899999181973</v>
      </c>
      <c r="J69">
        <f>+G69</f>
        <v>-0.30632899999181973</v>
      </c>
      <c r="O69">
        <f t="shared" ca="1" si="9"/>
        <v>-0.30629995205830773</v>
      </c>
      <c r="Q69" s="2">
        <f t="shared" si="10"/>
        <v>38594.990100000003</v>
      </c>
      <c r="R69" s="2"/>
    </row>
    <row r="70" spans="1:19" x14ac:dyDescent="0.2">
      <c r="A70" s="11" t="s">
        <v>35</v>
      </c>
      <c r="C70" s="10">
        <v>53638.235999999997</v>
      </c>
      <c r="D70" s="10">
        <v>5.0000000000000001E-3</v>
      </c>
      <c r="E70">
        <f t="shared" si="7"/>
        <v>4026.9005760991736</v>
      </c>
      <c r="F70">
        <f t="shared" si="8"/>
        <v>4027</v>
      </c>
      <c r="G70">
        <f t="shared" si="12"/>
        <v>-0.30755700000008801</v>
      </c>
      <c r="I70">
        <f t="shared" ref="I70:I78" si="13">G70</f>
        <v>-0.30755700000008801</v>
      </c>
      <c r="O70">
        <f t="shared" ca="1" si="9"/>
        <v>-0.30688576378546245</v>
      </c>
      <c r="Q70" s="2">
        <f t="shared" si="10"/>
        <v>38619.735999999997</v>
      </c>
      <c r="R70" s="2"/>
      <c r="S70" s="15" t="s">
        <v>36</v>
      </c>
    </row>
    <row r="71" spans="1:19" x14ac:dyDescent="0.2">
      <c r="A71" s="13" t="s">
        <v>47</v>
      </c>
      <c r="B71" s="12"/>
      <c r="C71" s="13">
        <v>53638.235999999997</v>
      </c>
      <c r="D71" s="13">
        <v>5.0000000000000001E-3</v>
      </c>
      <c r="E71">
        <f t="shared" si="7"/>
        <v>4026.9005760991736</v>
      </c>
      <c r="F71">
        <f t="shared" si="8"/>
        <v>4027</v>
      </c>
      <c r="G71">
        <f t="shared" si="12"/>
        <v>-0.30755700000008801</v>
      </c>
      <c r="I71">
        <f t="shared" si="13"/>
        <v>-0.30755700000008801</v>
      </c>
      <c r="O71">
        <f t="shared" ca="1" si="9"/>
        <v>-0.30688576378546245</v>
      </c>
      <c r="Q71" s="2">
        <f t="shared" si="10"/>
        <v>38619.735999999997</v>
      </c>
      <c r="R71" s="2"/>
    </row>
    <row r="72" spans="1:19" x14ac:dyDescent="0.2">
      <c r="A72" s="49" t="s">
        <v>225</v>
      </c>
      <c r="B72" s="50" t="s">
        <v>33</v>
      </c>
      <c r="C72" s="49">
        <v>53644.42</v>
      </c>
      <c r="D72" s="49" t="s">
        <v>52</v>
      </c>
      <c r="E72">
        <f t="shared" si="7"/>
        <v>4028.8996767624913</v>
      </c>
      <c r="F72">
        <f t="shared" si="8"/>
        <v>4029</v>
      </c>
      <c r="G72">
        <f t="shared" si="12"/>
        <v>-0.31033900000329595</v>
      </c>
      <c r="I72">
        <f t="shared" si="13"/>
        <v>-0.31033900000329595</v>
      </c>
      <c r="O72">
        <f t="shared" ca="1" si="9"/>
        <v>-0.30703221671725117</v>
      </c>
      <c r="Q72" s="2">
        <f t="shared" si="10"/>
        <v>38625.919999999998</v>
      </c>
      <c r="R72" s="2"/>
    </row>
    <row r="73" spans="1:19" x14ac:dyDescent="0.2">
      <c r="A73" s="49" t="s">
        <v>225</v>
      </c>
      <c r="B73" s="50" t="s">
        <v>33</v>
      </c>
      <c r="C73" s="49">
        <v>53644.421999999999</v>
      </c>
      <c r="D73" s="49" t="s">
        <v>52</v>
      </c>
      <c r="E73">
        <f t="shared" si="7"/>
        <v>4028.9003233021626</v>
      </c>
      <c r="F73">
        <f t="shared" si="8"/>
        <v>4029</v>
      </c>
      <c r="G73">
        <f t="shared" si="12"/>
        <v>-0.3083390000028885</v>
      </c>
      <c r="I73">
        <f t="shared" si="13"/>
        <v>-0.3083390000028885</v>
      </c>
      <c r="O73">
        <f t="shared" ca="1" si="9"/>
        <v>-0.30703221671725117</v>
      </c>
      <c r="Q73" s="2">
        <f t="shared" si="10"/>
        <v>38625.921999999999</v>
      </c>
      <c r="R73" s="2"/>
    </row>
    <row r="74" spans="1:19" x14ac:dyDescent="0.2">
      <c r="A74" s="49" t="s">
        <v>225</v>
      </c>
      <c r="B74" s="50" t="s">
        <v>33</v>
      </c>
      <c r="C74" s="49">
        <v>53706.288999999997</v>
      </c>
      <c r="D74" s="49" t="s">
        <v>52</v>
      </c>
      <c r="E74">
        <f t="shared" si="7"/>
        <v>4048.9000582208969</v>
      </c>
      <c r="F74">
        <f t="shared" si="8"/>
        <v>4049</v>
      </c>
      <c r="G74">
        <f t="shared" si="12"/>
        <v>-0.30915900000400143</v>
      </c>
      <c r="I74">
        <f t="shared" si="13"/>
        <v>-0.30915900000400143</v>
      </c>
      <c r="O74">
        <f t="shared" ca="1" si="9"/>
        <v>-0.30849674603513799</v>
      </c>
      <c r="Q74" s="2">
        <f t="shared" si="10"/>
        <v>38687.788999999997</v>
      </c>
      <c r="R74" s="2"/>
    </row>
    <row r="75" spans="1:19" x14ac:dyDescent="0.2">
      <c r="A75" s="49" t="s">
        <v>225</v>
      </c>
      <c r="B75" s="50" t="s">
        <v>33</v>
      </c>
      <c r="C75" s="49">
        <v>53706.29</v>
      </c>
      <c r="D75" s="49" t="s">
        <v>52</v>
      </c>
      <c r="E75">
        <f t="shared" si="7"/>
        <v>4048.9003814907337</v>
      </c>
      <c r="F75">
        <f t="shared" si="8"/>
        <v>4049</v>
      </c>
      <c r="G75">
        <f t="shared" si="12"/>
        <v>-0.30815900000015972</v>
      </c>
      <c r="I75">
        <f t="shared" si="13"/>
        <v>-0.30815900000015972</v>
      </c>
      <c r="O75">
        <f t="shared" ca="1" si="9"/>
        <v>-0.30849674603513799</v>
      </c>
      <c r="Q75" s="2">
        <f t="shared" si="10"/>
        <v>38687.79</v>
      </c>
      <c r="R75" s="2"/>
    </row>
    <row r="76" spans="1:19" x14ac:dyDescent="0.2">
      <c r="A76" s="49" t="s">
        <v>225</v>
      </c>
      <c r="B76" s="50" t="s">
        <v>33</v>
      </c>
      <c r="C76" s="49">
        <v>53712.482000000004</v>
      </c>
      <c r="D76" s="49" t="s">
        <v>52</v>
      </c>
      <c r="E76">
        <f t="shared" si="7"/>
        <v>4050.9020683127369</v>
      </c>
      <c r="F76">
        <f t="shared" si="8"/>
        <v>4051</v>
      </c>
      <c r="G76">
        <f t="shared" si="12"/>
        <v>-0.30294099999446189</v>
      </c>
      <c r="I76">
        <f t="shared" si="13"/>
        <v>-0.30294099999446189</v>
      </c>
      <c r="O76">
        <f t="shared" ca="1" si="9"/>
        <v>-0.30864319896692671</v>
      </c>
      <c r="Q76" s="2">
        <f t="shared" si="10"/>
        <v>38693.982000000004</v>
      </c>
      <c r="R76" s="2"/>
    </row>
    <row r="77" spans="1:19" x14ac:dyDescent="0.2">
      <c r="A77" s="49" t="s">
        <v>225</v>
      </c>
      <c r="B77" s="50" t="s">
        <v>33</v>
      </c>
      <c r="C77" s="49">
        <v>53944.478999999999</v>
      </c>
      <c r="D77" s="49" t="s">
        <v>52</v>
      </c>
      <c r="E77">
        <f t="shared" si="7"/>
        <v>4125.8997003611894</v>
      </c>
      <c r="F77">
        <f t="shared" si="8"/>
        <v>4126</v>
      </c>
      <c r="G77">
        <f t="shared" si="12"/>
        <v>-0.31026600000041071</v>
      </c>
      <c r="I77">
        <f t="shared" si="13"/>
        <v>-0.31026600000041071</v>
      </c>
      <c r="O77">
        <f t="shared" ca="1" si="9"/>
        <v>-0.31413518390900236</v>
      </c>
      <c r="Q77" s="2">
        <f t="shared" si="10"/>
        <v>38925.978999999999</v>
      </c>
      <c r="R77" s="2"/>
    </row>
    <row r="78" spans="1:19" x14ac:dyDescent="0.2">
      <c r="A78" s="49" t="s">
        <v>225</v>
      </c>
      <c r="B78" s="50" t="s">
        <v>33</v>
      </c>
      <c r="C78" s="49">
        <v>53947.569000000003</v>
      </c>
      <c r="D78" s="49" t="s">
        <v>52</v>
      </c>
      <c r="E78">
        <f t="shared" si="7"/>
        <v>4126.898604153178</v>
      </c>
      <c r="F78">
        <f t="shared" si="8"/>
        <v>4127</v>
      </c>
      <c r="G78">
        <f t="shared" si="12"/>
        <v>-0.3136569999915082</v>
      </c>
      <c r="I78">
        <f t="shared" si="13"/>
        <v>-0.3136569999915082</v>
      </c>
      <c r="O78">
        <f t="shared" ca="1" si="9"/>
        <v>-0.31420841037489672</v>
      </c>
      <c r="Q78" s="2">
        <f t="shared" si="10"/>
        <v>38929.069000000003</v>
      </c>
      <c r="R78" s="2"/>
    </row>
    <row r="79" spans="1:19" x14ac:dyDescent="0.2">
      <c r="A79" s="49" t="s">
        <v>225</v>
      </c>
      <c r="B79" s="50" t="s">
        <v>33</v>
      </c>
      <c r="C79" s="49">
        <v>53975.408300000003</v>
      </c>
      <c r="D79" s="49" t="s">
        <v>52</v>
      </c>
      <c r="E79">
        <f t="shared" si="7"/>
        <v>4135.898210087249</v>
      </c>
      <c r="F79">
        <f t="shared" si="8"/>
        <v>4136</v>
      </c>
      <c r="G79">
        <f t="shared" si="12"/>
        <v>-0.31487599999672966</v>
      </c>
      <c r="K79">
        <f>G79</f>
        <v>-0.31487599999672966</v>
      </c>
      <c r="O79">
        <f t="shared" ca="1" si="9"/>
        <v>-0.3148674485679458</v>
      </c>
      <c r="Q79" s="2">
        <f t="shared" si="10"/>
        <v>38956.908300000003</v>
      </c>
      <c r="R79" s="2"/>
    </row>
    <row r="80" spans="1:19" x14ac:dyDescent="0.2">
      <c r="A80" s="49" t="s">
        <v>225</v>
      </c>
      <c r="B80" s="50" t="s">
        <v>33</v>
      </c>
      <c r="C80" s="49">
        <v>54278.553</v>
      </c>
      <c r="D80" s="49" t="s">
        <v>52</v>
      </c>
      <c r="E80">
        <f t="shared" si="7"/>
        <v>4233.8957474176405</v>
      </c>
      <c r="F80">
        <f t="shared" si="8"/>
        <v>4234</v>
      </c>
      <c r="G80">
        <f t="shared" si="12"/>
        <v>-0.32249400000000605</v>
      </c>
      <c r="K80">
        <f>G80</f>
        <v>-0.32249400000000605</v>
      </c>
      <c r="O80">
        <f t="shared" ca="1" si="9"/>
        <v>-0.32204364222559134</v>
      </c>
      <c r="Q80" s="2">
        <f t="shared" si="10"/>
        <v>39260.053</v>
      </c>
      <c r="R80" s="2"/>
    </row>
    <row r="81" spans="1:21" x14ac:dyDescent="0.2">
      <c r="A81" s="49" t="s">
        <v>225</v>
      </c>
      <c r="B81" s="50" t="s">
        <v>33</v>
      </c>
      <c r="C81" s="49">
        <v>54306.394099999998</v>
      </c>
      <c r="D81" s="49" t="s">
        <v>52</v>
      </c>
      <c r="E81">
        <f t="shared" si="7"/>
        <v>4242.8959352374141</v>
      </c>
      <c r="F81">
        <f t="shared" si="8"/>
        <v>4243</v>
      </c>
      <c r="G81">
        <f t="shared" si="12"/>
        <v>-0.32191299999976764</v>
      </c>
      <c r="K81">
        <f>G81</f>
        <v>-0.32191299999976764</v>
      </c>
      <c r="O81">
        <f t="shared" ca="1" si="9"/>
        <v>-0.32270268041864048</v>
      </c>
      <c r="Q81" s="2">
        <f t="shared" si="10"/>
        <v>39287.894099999998</v>
      </c>
      <c r="R81" s="2"/>
    </row>
    <row r="82" spans="1:21" x14ac:dyDescent="0.2">
      <c r="A82" s="49" t="s">
        <v>225</v>
      </c>
      <c r="B82" s="50" t="s">
        <v>33</v>
      </c>
      <c r="C82" s="49">
        <v>54309.485200000003</v>
      </c>
      <c r="D82" s="49" t="s">
        <v>52</v>
      </c>
      <c r="E82">
        <f t="shared" si="7"/>
        <v>4243.8951946262223</v>
      </c>
      <c r="F82">
        <f t="shared" si="8"/>
        <v>4244</v>
      </c>
      <c r="G82">
        <f t="shared" si="12"/>
        <v>-0.32420399999682559</v>
      </c>
      <c r="K82">
        <f>G82</f>
        <v>-0.32420399999682559</v>
      </c>
      <c r="O82">
        <f t="shared" ca="1" si="9"/>
        <v>-0.32277590688453478</v>
      </c>
      <c r="Q82" s="2">
        <f t="shared" si="10"/>
        <v>39290.985200000003</v>
      </c>
      <c r="R82" s="2"/>
    </row>
    <row r="83" spans="1:21" x14ac:dyDescent="0.2">
      <c r="A83" s="49" t="s">
        <v>225</v>
      </c>
      <c r="B83" s="50" t="s">
        <v>33</v>
      </c>
      <c r="C83" s="49">
        <v>54340.419000000002</v>
      </c>
      <c r="D83" s="49" t="s">
        <v>52</v>
      </c>
      <c r="E83">
        <f t="shared" si="7"/>
        <v>4253.8951590665401</v>
      </c>
      <c r="F83">
        <f t="shared" si="8"/>
        <v>4254</v>
      </c>
      <c r="G83">
        <f t="shared" si="12"/>
        <v>-0.32431399999768473</v>
      </c>
      <c r="I83">
        <f>G83</f>
        <v>-0.32431399999768473</v>
      </c>
      <c r="O83">
        <f t="shared" ca="1" si="9"/>
        <v>-0.32350817154347822</v>
      </c>
      <c r="Q83" s="2">
        <f t="shared" si="10"/>
        <v>39321.919000000002</v>
      </c>
      <c r="R83" s="2"/>
    </row>
    <row r="84" spans="1:21" x14ac:dyDescent="0.2">
      <c r="A84" s="49" t="s">
        <v>285</v>
      </c>
      <c r="B84" s="50" t="s">
        <v>33</v>
      </c>
      <c r="C84" s="49">
        <v>54374.44</v>
      </c>
      <c r="D84" s="49" t="s">
        <v>52</v>
      </c>
      <c r="E84">
        <f t="shared" si="7"/>
        <v>4264.8931221433058</v>
      </c>
      <c r="F84">
        <f t="shared" si="8"/>
        <v>4265</v>
      </c>
      <c r="G84">
        <f t="shared" si="12"/>
        <v>-0.33061499999894295</v>
      </c>
      <c r="I84">
        <f>G84</f>
        <v>-0.33061499999894295</v>
      </c>
      <c r="O84">
        <f t="shared" ca="1" si="9"/>
        <v>-0.32431366266831596</v>
      </c>
      <c r="Q84" s="2">
        <f t="shared" si="10"/>
        <v>39355.94</v>
      </c>
      <c r="R84" s="2"/>
    </row>
    <row r="85" spans="1:21" x14ac:dyDescent="0.2">
      <c r="A85" s="49" t="s">
        <v>225</v>
      </c>
      <c r="B85" s="50" t="s">
        <v>33</v>
      </c>
      <c r="C85" s="49">
        <v>54405.383000000002</v>
      </c>
      <c r="D85" s="49" t="s">
        <v>52</v>
      </c>
      <c r="E85">
        <f t="shared" ref="E85:E91" si="14">+(C85-C$7)/C$8</f>
        <v>4274.8960606661112</v>
      </c>
      <c r="F85">
        <f t="shared" ref="F85:F92" si="15">ROUND(2*E85,0)/2</f>
        <v>4275</v>
      </c>
      <c r="G85">
        <f t="shared" si="12"/>
        <v>-0.321524999999383</v>
      </c>
      <c r="I85">
        <f>G85</f>
        <v>-0.321524999999383</v>
      </c>
      <c r="O85">
        <f t="shared" ref="O85:O91" ca="1" si="16">+C$11+C$12*$F85</f>
        <v>-0.3250459273272594</v>
      </c>
      <c r="Q85" s="2">
        <f t="shared" ref="Q85:Q91" si="17">+C85-15018.5</f>
        <v>39386.883000000002</v>
      </c>
      <c r="R85" s="2"/>
    </row>
    <row r="86" spans="1:21" x14ac:dyDescent="0.2">
      <c r="A86" s="49" t="s">
        <v>293</v>
      </c>
      <c r="B86" s="50" t="s">
        <v>33</v>
      </c>
      <c r="C86" s="49">
        <v>55067.347300000001</v>
      </c>
      <c r="D86" s="49" t="s">
        <v>52</v>
      </c>
      <c r="E86">
        <f t="shared" si="14"/>
        <v>4488.889151096645</v>
      </c>
      <c r="F86">
        <f t="shared" si="15"/>
        <v>4489</v>
      </c>
      <c r="G86">
        <f t="shared" si="12"/>
        <v>-0.34289899999566842</v>
      </c>
      <c r="K86">
        <f>G86</f>
        <v>-0.34289899999566842</v>
      </c>
      <c r="O86">
        <f t="shared" ca="1" si="16"/>
        <v>-0.3407163910286487</v>
      </c>
      <c r="Q86" s="2">
        <f t="shared" si="17"/>
        <v>40048.847300000001</v>
      </c>
      <c r="R86" s="2"/>
    </row>
    <row r="87" spans="1:21" x14ac:dyDescent="0.2">
      <c r="A87" s="49" t="s">
        <v>299</v>
      </c>
      <c r="B87" s="50" t="s">
        <v>33</v>
      </c>
      <c r="C87" s="49">
        <v>55426.177000000003</v>
      </c>
      <c r="D87" s="49" t="s">
        <v>52</v>
      </c>
      <c r="E87">
        <f t="shared" si="14"/>
        <v>4604.8879692221271</v>
      </c>
      <c r="F87">
        <f t="shared" si="15"/>
        <v>4605</v>
      </c>
      <c r="G87">
        <f t="shared" si="12"/>
        <v>-0.34655499999644235</v>
      </c>
      <c r="I87">
        <f>G87</f>
        <v>-0.34655499999644235</v>
      </c>
      <c r="O87">
        <f t="shared" ca="1" si="16"/>
        <v>-0.34921066107239246</v>
      </c>
      <c r="Q87" s="2">
        <f t="shared" si="17"/>
        <v>40407.677000000003</v>
      </c>
      <c r="R87" s="2"/>
    </row>
    <row r="88" spans="1:21" x14ac:dyDescent="0.2">
      <c r="A88" s="52" t="s">
        <v>53</v>
      </c>
      <c r="B88" s="53" t="s">
        <v>33</v>
      </c>
      <c r="C88" s="52">
        <v>55599.4015</v>
      </c>
      <c r="D88" s="52">
        <v>1.1000000000000001E-3</v>
      </c>
      <c r="E88">
        <f t="shared" si="14"/>
        <v>4660.8862248580926</v>
      </c>
      <c r="F88">
        <f t="shared" si="15"/>
        <v>4661</v>
      </c>
      <c r="G88">
        <f t="shared" si="12"/>
        <v>-0.35195099999691593</v>
      </c>
      <c r="J88">
        <f>+G88</f>
        <v>-0.35195099999691593</v>
      </c>
      <c r="O88">
        <f t="shared" ca="1" si="16"/>
        <v>-0.35331134316247564</v>
      </c>
      <c r="Q88" s="2">
        <f t="shared" si="17"/>
        <v>40580.9015</v>
      </c>
      <c r="R88" s="2"/>
    </row>
    <row r="89" spans="1:21" x14ac:dyDescent="0.2">
      <c r="A89" s="54" t="s">
        <v>1</v>
      </c>
      <c r="B89" s="55" t="s">
        <v>33</v>
      </c>
      <c r="C89" s="56">
        <v>57291.444000000003</v>
      </c>
      <c r="D89" s="56">
        <v>4.0000000000000001E-3</v>
      </c>
      <c r="E89">
        <f t="shared" si="14"/>
        <v>5207.8725256522712</v>
      </c>
      <c r="F89">
        <f t="shared" si="15"/>
        <v>5208</v>
      </c>
      <c r="G89">
        <f t="shared" si="12"/>
        <v>-0.39432799999485724</v>
      </c>
      <c r="K89">
        <f>G89</f>
        <v>-0.39432799999485724</v>
      </c>
      <c r="O89">
        <f t="shared" ca="1" si="16"/>
        <v>-0.39336622000668098</v>
      </c>
      <c r="Q89" s="2">
        <f t="shared" si="17"/>
        <v>42272.944000000003</v>
      </c>
    </row>
    <row r="90" spans="1:21" x14ac:dyDescent="0.2">
      <c r="A90" s="54" t="s">
        <v>1</v>
      </c>
      <c r="B90" s="55" t="s">
        <v>33</v>
      </c>
      <c r="C90" s="56">
        <v>57322.377699999997</v>
      </c>
      <c r="D90" s="56">
        <v>2.3E-3</v>
      </c>
      <c r="E90">
        <f t="shared" si="14"/>
        <v>5217.8724577656039</v>
      </c>
      <c r="F90">
        <f t="shared" si="15"/>
        <v>5218</v>
      </c>
      <c r="G90">
        <f t="shared" si="12"/>
        <v>-0.39453800000046613</v>
      </c>
      <c r="K90">
        <f>G90</f>
        <v>-0.39453800000046613</v>
      </c>
      <c r="O90">
        <f t="shared" ca="1" si="16"/>
        <v>-0.39409848466562442</v>
      </c>
      <c r="Q90" s="2">
        <f t="shared" si="17"/>
        <v>42303.877699999997</v>
      </c>
    </row>
    <row r="91" spans="1:21" x14ac:dyDescent="0.2">
      <c r="A91" s="54" t="s">
        <v>1</v>
      </c>
      <c r="B91" s="55" t="s">
        <v>33</v>
      </c>
      <c r="C91" s="56">
        <v>57322.472500000003</v>
      </c>
      <c r="D91" s="56">
        <v>3.0000000000000001E-3</v>
      </c>
      <c r="E91">
        <f t="shared" si="14"/>
        <v>5217.90310374602</v>
      </c>
      <c r="F91">
        <f t="shared" si="15"/>
        <v>5218</v>
      </c>
      <c r="O91">
        <f t="shared" ca="1" si="16"/>
        <v>-0.39409848466562442</v>
      </c>
      <c r="Q91" s="2">
        <f t="shared" si="17"/>
        <v>42303.972500000003</v>
      </c>
      <c r="U91">
        <f>+C91-(C$7+F91*C$8)</f>
        <v>-0.29973799999424955</v>
      </c>
    </row>
    <row r="92" spans="1:21" x14ac:dyDescent="0.2">
      <c r="A92" s="57" t="s">
        <v>0</v>
      </c>
      <c r="B92" s="58" t="s">
        <v>33</v>
      </c>
      <c r="C92" s="59">
        <v>58018.374799999998</v>
      </c>
      <c r="D92" s="59">
        <v>2E-3</v>
      </c>
      <c r="E92">
        <f>+(C92-C$7)/C$8</f>
        <v>5442.8673258569634</v>
      </c>
      <c r="F92">
        <f t="shared" si="15"/>
        <v>5443</v>
      </c>
      <c r="G92">
        <f>+C92-(C$7+F92*C$8)</f>
        <v>-0.41041299999778857</v>
      </c>
      <c r="K92">
        <f>G92</f>
        <v>-0.41041299999778857</v>
      </c>
      <c r="O92">
        <f ca="1">+C$11+C$12*$F92</f>
        <v>-0.41057443949185146</v>
      </c>
      <c r="Q92" s="2">
        <f>+C92-15018.5</f>
        <v>42999.874799999998</v>
      </c>
    </row>
    <row r="93" spans="1:21" x14ac:dyDescent="0.2">
      <c r="A93" s="60" t="s">
        <v>307</v>
      </c>
      <c r="B93" s="61" t="s">
        <v>33</v>
      </c>
      <c r="C93" s="62">
        <v>59512.447399999997</v>
      </c>
      <c r="D93" s="63">
        <v>1E-3</v>
      </c>
      <c r="E93">
        <f>+(C93-C$7)/C$8</f>
        <v>5925.8559296254498</v>
      </c>
      <c r="F93">
        <f t="shared" ref="F93" si="18">ROUND(2*E93,0)/2</f>
        <v>5926</v>
      </c>
      <c r="G93">
        <f>+C93-(C$7+F93*C$8)</f>
        <v>-0.44566600000689505</v>
      </c>
      <c r="K93">
        <f>G93</f>
        <v>-0.44566600000689505</v>
      </c>
      <c r="O93">
        <f ca="1">+C$11+C$12*$F93</f>
        <v>-0.44594282251881889</v>
      </c>
      <c r="Q93" s="2">
        <f>+C93-15018.5</f>
        <v>44493.947399999997</v>
      </c>
    </row>
    <row r="94" spans="1:21" x14ac:dyDescent="0.2">
      <c r="B94" s="3"/>
      <c r="C94" s="10"/>
      <c r="D94" s="10"/>
    </row>
    <row r="95" spans="1:21" x14ac:dyDescent="0.2">
      <c r="B95" s="3"/>
      <c r="C95" s="10"/>
      <c r="D95" s="10"/>
    </row>
    <row r="96" spans="1:21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C168" s="10"/>
      <c r="D168" s="10"/>
    </row>
    <row r="169" spans="2:4" x14ac:dyDescent="0.2">
      <c r="C169" s="10"/>
      <c r="D169" s="10"/>
    </row>
    <row r="170" spans="2:4" x14ac:dyDescent="0.2">
      <c r="C170" s="10"/>
      <c r="D170" s="10"/>
    </row>
    <row r="171" spans="2:4" x14ac:dyDescent="0.2">
      <c r="C171" s="10"/>
      <c r="D171" s="10"/>
    </row>
    <row r="172" spans="2:4" x14ac:dyDescent="0.2">
      <c r="C172" s="10"/>
      <c r="D172" s="10"/>
    </row>
    <row r="173" spans="2:4" x14ac:dyDescent="0.2">
      <c r="C173" s="10"/>
      <c r="D173" s="10"/>
    </row>
    <row r="174" spans="2:4" x14ac:dyDescent="0.2">
      <c r="C174" s="10"/>
      <c r="D174" s="10"/>
    </row>
    <row r="175" spans="2:4" x14ac:dyDescent="0.2">
      <c r="C175" s="10"/>
      <c r="D175" s="10"/>
    </row>
    <row r="176" spans="2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S40" r:id="rId1" display="http://simbad.u-strasbg.fr/cgi-bin/cdsbib4?1963AJ.....68..257W" xr:uid="{00000000-0004-0000-0000-000000000000}"/>
    <hyperlink ref="H2458" r:id="rId2" display="http://vsolj.cetus-net.org/bulletin.html" xr:uid="{00000000-0004-0000-0000-000001000000}"/>
    <hyperlink ref="H64655" r:id="rId3" display="http://vsolj.cetus-net.org/bulletin.html" xr:uid="{00000000-0004-0000-0000-000002000000}"/>
    <hyperlink ref="H64648" r:id="rId4" display="https://www.aavso.org/ejaavso" xr:uid="{00000000-0004-0000-0000-000003000000}"/>
    <hyperlink ref="AP1506" r:id="rId5" display="http://cdsbib.u-strasbg.fr/cgi-bin/cdsbib?1990RMxAA..21..381G" xr:uid="{00000000-0004-0000-0000-000004000000}"/>
    <hyperlink ref="AP1503" r:id="rId6" display="http://cdsbib.u-strasbg.fr/cgi-bin/cdsbib?1990RMxAA..21..381G" xr:uid="{00000000-0004-0000-0000-000005000000}"/>
    <hyperlink ref="AP1505" r:id="rId7" display="http://cdsbib.u-strasbg.fr/cgi-bin/cdsbib?1990RMxAA..21..381G" xr:uid="{00000000-0004-0000-0000-000006000000}"/>
    <hyperlink ref="AP1481" r:id="rId8" display="http://cdsbib.u-strasbg.fr/cgi-bin/cdsbib?1990RMxAA..21..381G" xr:uid="{00000000-0004-0000-0000-000007000000}"/>
    <hyperlink ref="I64655" r:id="rId9" display="http://vsolj.cetus-net.org/bulletin.html" xr:uid="{00000000-0004-0000-0000-000008000000}"/>
    <hyperlink ref="AQ1642" r:id="rId10" display="http://cdsbib.u-strasbg.fr/cgi-bin/cdsbib?1990RMxAA..21..381G" xr:uid="{00000000-0004-0000-0000-000009000000}"/>
    <hyperlink ref="AQ3286" r:id="rId11" display="http://cdsbib.u-strasbg.fr/cgi-bin/cdsbib?1990RMxAA..21..381G" xr:uid="{00000000-0004-0000-0000-00000A000000}"/>
    <hyperlink ref="AQ1643" r:id="rId12" display="http://cdsbib.u-strasbg.fr/cgi-bin/cdsbib?1990RMxAA..21..381G" xr:uid="{00000000-0004-0000-0000-00000B000000}"/>
    <hyperlink ref="H64652" r:id="rId13" display="https://www.aavso.org/ejaavso" xr:uid="{00000000-0004-0000-0000-00000C000000}"/>
    <hyperlink ref="H2493" r:id="rId14" display="http://vsolj.cetus-net.org/bulletin.html" xr:uid="{00000000-0004-0000-0000-00000D000000}"/>
    <hyperlink ref="AP5731" r:id="rId15" display="http://cdsbib.u-strasbg.fr/cgi-bin/cdsbib?1990RMxAA..21..381G" xr:uid="{00000000-0004-0000-0000-00000E000000}"/>
    <hyperlink ref="AP5734" r:id="rId16" display="http://cdsbib.u-strasbg.fr/cgi-bin/cdsbib?1990RMxAA..21..381G" xr:uid="{00000000-0004-0000-0000-00000F000000}"/>
    <hyperlink ref="AP5732" r:id="rId17" display="http://cdsbib.u-strasbg.fr/cgi-bin/cdsbib?1990RMxAA..21..381G" xr:uid="{00000000-0004-0000-0000-000010000000}"/>
    <hyperlink ref="AP5710" r:id="rId18" display="http://cdsbib.u-strasbg.fr/cgi-bin/cdsbib?1990RMxAA..21..381G" xr:uid="{00000000-0004-0000-0000-000011000000}"/>
    <hyperlink ref="I2493" r:id="rId19" display="http://vsolj.cetus-net.org/bulletin.html" xr:uid="{00000000-0004-0000-0000-000012000000}"/>
    <hyperlink ref="AQ5844" r:id="rId20" display="http://cdsbib.u-strasbg.fr/cgi-bin/cdsbib?1990RMxAA..21..381G" xr:uid="{00000000-0004-0000-0000-000013000000}"/>
    <hyperlink ref="AQ396" r:id="rId21" display="http://cdsbib.u-strasbg.fr/cgi-bin/cdsbib?1990RMxAA..21..381G" xr:uid="{00000000-0004-0000-0000-000014000000}"/>
    <hyperlink ref="AQ5845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6"/>
  <sheetViews>
    <sheetView topLeftCell="A38" workbookViewId="0">
      <selection activeCell="A17" sqref="A17:D74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4" t="s">
        <v>54</v>
      </c>
      <c r="I1" s="35" t="s">
        <v>55</v>
      </c>
      <c r="J1" s="36" t="s">
        <v>56</v>
      </c>
    </row>
    <row r="2" spans="1:16" x14ac:dyDescent="0.2">
      <c r="I2" s="37" t="s">
        <v>57</v>
      </c>
      <c r="J2" s="38" t="s">
        <v>58</v>
      </c>
    </row>
    <row r="3" spans="1:16" x14ac:dyDescent="0.2">
      <c r="A3" s="39" t="s">
        <v>59</v>
      </c>
      <c r="I3" s="37" t="s">
        <v>60</v>
      </c>
      <c r="J3" s="38" t="s">
        <v>61</v>
      </c>
    </row>
    <row r="4" spans="1:16" x14ac:dyDescent="0.2">
      <c r="I4" s="37" t="s">
        <v>62</v>
      </c>
      <c r="J4" s="38" t="s">
        <v>61</v>
      </c>
    </row>
    <row r="5" spans="1:16" ht="13.5" thickBot="1" x14ac:dyDescent="0.25">
      <c r="I5" s="40" t="s">
        <v>63</v>
      </c>
      <c r="J5" s="41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172 </v>
      </c>
      <c r="B11" s="3" t="str">
        <f t="shared" ref="B11:B42" si="1">IF(H11=INT(H11),"I","II")</f>
        <v>I</v>
      </c>
      <c r="C11" s="10">
        <f t="shared" ref="C11:C42" si="2">1*G11</f>
        <v>52982.456200000001</v>
      </c>
      <c r="D11" s="18" t="str">
        <f t="shared" ref="D11:D42" si="3">VLOOKUP(F11,I$1:J$5,2,FALSE)</f>
        <v>vis</v>
      </c>
      <c r="E11" s="42">
        <f>VLOOKUP(C11,Active!C$21:E$973,3,FALSE)</f>
        <v>3814.9067479668756</v>
      </c>
      <c r="F11" s="3" t="s">
        <v>63</v>
      </c>
      <c r="G11" s="18" t="str">
        <f t="shared" ref="G11:G42" si="4">MID(I11,3,LEN(I11)-3)</f>
        <v>52982.4562</v>
      </c>
      <c r="H11" s="10">
        <f t="shared" ref="H11:H42" si="5">1*K11</f>
        <v>3815</v>
      </c>
      <c r="I11" s="43" t="s">
        <v>200</v>
      </c>
      <c r="J11" s="44" t="s">
        <v>201</v>
      </c>
      <c r="K11" s="43">
        <v>3815</v>
      </c>
      <c r="L11" s="43" t="s">
        <v>202</v>
      </c>
      <c r="M11" s="44" t="s">
        <v>203</v>
      </c>
      <c r="N11" s="44" t="s">
        <v>204</v>
      </c>
      <c r="O11" s="45" t="s">
        <v>205</v>
      </c>
      <c r="P11" s="46" t="s">
        <v>206</v>
      </c>
    </row>
    <row r="12" spans="1:16" ht="12.75" customHeight="1" thickBot="1" x14ac:dyDescent="0.25">
      <c r="A12" s="10" t="str">
        <f t="shared" si="0"/>
        <v>BAVM 174 </v>
      </c>
      <c r="B12" s="3" t="str">
        <f t="shared" si="1"/>
        <v>I</v>
      </c>
      <c r="C12" s="10">
        <f t="shared" si="2"/>
        <v>53248.481</v>
      </c>
      <c r="D12" s="18" t="str">
        <f t="shared" si="3"/>
        <v>vis</v>
      </c>
      <c r="E12" s="42">
        <f>VLOOKUP(C12,Active!C$21:E$973,3,FALSE)</f>
        <v>3900.9045413269778</v>
      </c>
      <c r="F12" s="3" t="s">
        <v>63</v>
      </c>
      <c r="G12" s="18" t="str">
        <f t="shared" si="4"/>
        <v>53248.481</v>
      </c>
      <c r="H12" s="10">
        <f t="shared" si="5"/>
        <v>3901</v>
      </c>
      <c r="I12" s="43" t="s">
        <v>207</v>
      </c>
      <c r="J12" s="44" t="s">
        <v>208</v>
      </c>
      <c r="K12" s="43" t="s">
        <v>209</v>
      </c>
      <c r="L12" s="43" t="s">
        <v>210</v>
      </c>
      <c r="M12" s="44" t="s">
        <v>194</v>
      </c>
      <c r="N12" s="44"/>
      <c r="O12" s="45" t="s">
        <v>195</v>
      </c>
      <c r="P12" s="46" t="s">
        <v>211</v>
      </c>
    </row>
    <row r="13" spans="1:16" ht="12.75" customHeight="1" thickBot="1" x14ac:dyDescent="0.25">
      <c r="A13" s="10" t="str">
        <f t="shared" si="0"/>
        <v>IBVS 5653 </v>
      </c>
      <c r="B13" s="3" t="str">
        <f t="shared" si="1"/>
        <v>I</v>
      </c>
      <c r="C13" s="10">
        <f t="shared" si="2"/>
        <v>53341.275699999998</v>
      </c>
      <c r="D13" s="18" t="str">
        <f t="shared" si="3"/>
        <v>vis</v>
      </c>
      <c r="E13" s="42">
        <f>VLOOKUP(C13,Active!C$21:E$973,3,FALSE)</f>
        <v>3930.9022687400329</v>
      </c>
      <c r="F13" s="3" t="s">
        <v>63</v>
      </c>
      <c r="G13" s="18" t="str">
        <f t="shared" si="4"/>
        <v>53341.2757</v>
      </c>
      <c r="H13" s="10">
        <f t="shared" si="5"/>
        <v>3931</v>
      </c>
      <c r="I13" s="43" t="s">
        <v>212</v>
      </c>
      <c r="J13" s="44" t="s">
        <v>213</v>
      </c>
      <c r="K13" s="43" t="s">
        <v>214</v>
      </c>
      <c r="L13" s="43" t="s">
        <v>215</v>
      </c>
      <c r="M13" s="44" t="s">
        <v>203</v>
      </c>
      <c r="N13" s="44" t="s">
        <v>216</v>
      </c>
      <c r="O13" s="45" t="s">
        <v>217</v>
      </c>
      <c r="P13" s="46" t="s">
        <v>218</v>
      </c>
    </row>
    <row r="14" spans="1:16" ht="12.75" customHeight="1" thickBot="1" x14ac:dyDescent="0.25">
      <c r="A14" s="10" t="str">
        <f t="shared" si="0"/>
        <v>BAVM 178 </v>
      </c>
      <c r="B14" s="3" t="str">
        <f t="shared" si="1"/>
        <v>I</v>
      </c>
      <c r="C14" s="10">
        <f t="shared" si="2"/>
        <v>53613.490100000003</v>
      </c>
      <c r="D14" s="18" t="str">
        <f t="shared" si="3"/>
        <v>vis</v>
      </c>
      <c r="E14" s="42">
        <f>VLOOKUP(C14,Active!C$21:E$973,3,FALSE)</f>
        <v>4018.9009730745333</v>
      </c>
      <c r="F14" s="3" t="s">
        <v>63</v>
      </c>
      <c r="G14" s="18" t="str">
        <f t="shared" si="4"/>
        <v>53613.4901</v>
      </c>
      <c r="H14" s="10">
        <f t="shared" si="5"/>
        <v>4019</v>
      </c>
      <c r="I14" s="43" t="s">
        <v>226</v>
      </c>
      <c r="J14" s="44" t="s">
        <v>227</v>
      </c>
      <c r="K14" s="43" t="s">
        <v>228</v>
      </c>
      <c r="L14" s="43" t="s">
        <v>229</v>
      </c>
      <c r="M14" s="44" t="s">
        <v>223</v>
      </c>
      <c r="N14" s="44" t="s">
        <v>63</v>
      </c>
      <c r="O14" s="45" t="s">
        <v>230</v>
      </c>
      <c r="P14" s="46" t="s">
        <v>231</v>
      </c>
    </row>
    <row r="15" spans="1:16" ht="12.75" customHeight="1" thickBot="1" x14ac:dyDescent="0.25">
      <c r="A15" s="10" t="str">
        <f t="shared" si="0"/>
        <v>OEJV 0028 </v>
      </c>
      <c r="B15" s="3" t="str">
        <f t="shared" si="1"/>
        <v>I</v>
      </c>
      <c r="C15" s="10">
        <f t="shared" si="2"/>
        <v>53638.235999999997</v>
      </c>
      <c r="D15" s="18" t="str">
        <f t="shared" si="3"/>
        <v>vis</v>
      </c>
      <c r="E15" s="42">
        <f>VLOOKUP(C15,Active!C$21:E$973,3,FALSE)</f>
        <v>4026.9005760991736</v>
      </c>
      <c r="F15" s="3" t="s">
        <v>63</v>
      </c>
      <c r="G15" s="18" t="str">
        <f t="shared" si="4"/>
        <v>53638.236</v>
      </c>
      <c r="H15" s="10">
        <f t="shared" si="5"/>
        <v>4027</v>
      </c>
      <c r="I15" s="43" t="s">
        <v>232</v>
      </c>
      <c r="J15" s="44" t="s">
        <v>233</v>
      </c>
      <c r="K15" s="43" t="s">
        <v>234</v>
      </c>
      <c r="L15" s="43" t="s">
        <v>235</v>
      </c>
      <c r="M15" s="44" t="s">
        <v>194</v>
      </c>
      <c r="N15" s="44"/>
      <c r="O15" s="45" t="s">
        <v>195</v>
      </c>
      <c r="P15" s="46" t="s">
        <v>236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55599.4015</v>
      </c>
      <c r="D16" s="18" t="str">
        <f t="shared" si="3"/>
        <v>vis</v>
      </c>
      <c r="E16" s="42">
        <f>VLOOKUP(C16,Active!C$21:E$973,3,FALSE)</f>
        <v>4660.8862248580926</v>
      </c>
      <c r="F16" s="3" t="s">
        <v>63</v>
      </c>
      <c r="G16" s="18" t="str">
        <f t="shared" si="4"/>
        <v>55599.4015</v>
      </c>
      <c r="H16" s="10">
        <f t="shared" si="5"/>
        <v>4661</v>
      </c>
      <c r="I16" s="43" t="s">
        <v>300</v>
      </c>
      <c r="J16" s="44" t="s">
        <v>301</v>
      </c>
      <c r="K16" s="43" t="s">
        <v>302</v>
      </c>
      <c r="L16" s="43" t="s">
        <v>303</v>
      </c>
      <c r="M16" s="44" t="s">
        <v>223</v>
      </c>
      <c r="N16" s="44" t="s">
        <v>248</v>
      </c>
      <c r="O16" s="45" t="s">
        <v>304</v>
      </c>
      <c r="P16" s="46" t="s">
        <v>305</v>
      </c>
    </row>
    <row r="17" spans="1:16" ht="12.75" customHeight="1" thickBot="1" x14ac:dyDescent="0.25">
      <c r="A17" s="10" t="str">
        <f t="shared" si="0"/>
        <v> PZ 6.70 </v>
      </c>
      <c r="B17" s="3" t="str">
        <f t="shared" si="1"/>
        <v>I</v>
      </c>
      <c r="C17" s="10">
        <f t="shared" si="2"/>
        <v>17474.23</v>
      </c>
      <c r="D17" s="18" t="str">
        <f t="shared" si="3"/>
        <v>vis</v>
      </c>
      <c r="E17" s="42">
        <f>VLOOKUP(C17,Active!C$21:E$973,3,FALSE)</f>
        <v>-7663.8316979651127</v>
      </c>
      <c r="F17" s="3" t="s">
        <v>63</v>
      </c>
      <c r="G17" s="18" t="str">
        <f t="shared" si="4"/>
        <v>17474.23</v>
      </c>
      <c r="H17" s="10">
        <f t="shared" si="5"/>
        <v>-7664</v>
      </c>
      <c r="I17" s="43" t="s">
        <v>65</v>
      </c>
      <c r="J17" s="44" t="s">
        <v>66</v>
      </c>
      <c r="K17" s="43">
        <v>-7664</v>
      </c>
      <c r="L17" s="43" t="s">
        <v>67</v>
      </c>
      <c r="M17" s="44" t="s">
        <v>68</v>
      </c>
      <c r="N17" s="44"/>
      <c r="O17" s="45" t="s">
        <v>69</v>
      </c>
      <c r="P17" s="45" t="s">
        <v>70</v>
      </c>
    </row>
    <row r="18" spans="1:16" ht="12.75" customHeight="1" thickBot="1" x14ac:dyDescent="0.25">
      <c r="A18" s="10" t="str">
        <f t="shared" si="0"/>
        <v> PZ 5.162 </v>
      </c>
      <c r="B18" s="3" t="str">
        <f t="shared" si="1"/>
        <v>I</v>
      </c>
      <c r="C18" s="10">
        <f t="shared" si="2"/>
        <v>27722.32</v>
      </c>
      <c r="D18" s="18" t="str">
        <f t="shared" si="3"/>
        <v>vis</v>
      </c>
      <c r="E18" s="42">
        <f>VLOOKUP(C18,Active!C$21:E$973,3,FALSE)</f>
        <v>-4350.9333285058365</v>
      </c>
      <c r="F18" s="3" t="s">
        <v>63</v>
      </c>
      <c r="G18" s="18" t="str">
        <f t="shared" si="4"/>
        <v>27722.32</v>
      </c>
      <c r="H18" s="10">
        <f t="shared" si="5"/>
        <v>-4351</v>
      </c>
      <c r="I18" s="43" t="s">
        <v>71</v>
      </c>
      <c r="J18" s="44" t="s">
        <v>72</v>
      </c>
      <c r="K18" s="43">
        <v>-4351</v>
      </c>
      <c r="L18" s="43" t="s">
        <v>73</v>
      </c>
      <c r="M18" s="44" t="s">
        <v>68</v>
      </c>
      <c r="N18" s="44"/>
      <c r="O18" s="45" t="s">
        <v>74</v>
      </c>
      <c r="P18" s="45" t="s">
        <v>75</v>
      </c>
    </row>
    <row r="19" spans="1:16" ht="12.75" customHeight="1" thickBot="1" x14ac:dyDescent="0.25">
      <c r="A19" s="10" t="str">
        <f t="shared" si="0"/>
        <v> PZ 6.70 </v>
      </c>
      <c r="B19" s="3" t="str">
        <f t="shared" si="1"/>
        <v>I</v>
      </c>
      <c r="C19" s="10">
        <f t="shared" si="2"/>
        <v>27722.48</v>
      </c>
      <c r="D19" s="18" t="str">
        <f t="shared" si="3"/>
        <v>vis</v>
      </c>
      <c r="E19" s="42">
        <f>VLOOKUP(C19,Active!C$21:E$973,3,FALSE)</f>
        <v>-4350.8816053321416</v>
      </c>
      <c r="F19" s="3" t="s">
        <v>63</v>
      </c>
      <c r="G19" s="18" t="str">
        <f t="shared" si="4"/>
        <v>27722.48</v>
      </c>
      <c r="H19" s="10">
        <f t="shared" si="5"/>
        <v>-4351</v>
      </c>
      <c r="I19" s="43" t="s">
        <v>76</v>
      </c>
      <c r="J19" s="44" t="s">
        <v>77</v>
      </c>
      <c r="K19" s="43">
        <v>-4351</v>
      </c>
      <c r="L19" s="43" t="s">
        <v>78</v>
      </c>
      <c r="M19" s="44" t="s">
        <v>68</v>
      </c>
      <c r="N19" s="44"/>
      <c r="O19" s="45" t="s">
        <v>69</v>
      </c>
      <c r="P19" s="45" t="s">
        <v>70</v>
      </c>
    </row>
    <row r="20" spans="1:16" ht="12.75" customHeight="1" thickBot="1" x14ac:dyDescent="0.25">
      <c r="A20" s="10" t="str">
        <f t="shared" si="0"/>
        <v> PZ 5.162 </v>
      </c>
      <c r="B20" s="3" t="str">
        <f t="shared" si="1"/>
        <v>I</v>
      </c>
      <c r="C20" s="10">
        <f t="shared" si="2"/>
        <v>27784.18</v>
      </c>
      <c r="D20" s="18" t="str">
        <f t="shared" si="3"/>
        <v>vis</v>
      </c>
      <c r="E20" s="42">
        <f>VLOOKUP(C20,Active!C$21:E$973,3,FALSE)</f>
        <v>-4330.9358564759514</v>
      </c>
      <c r="F20" s="3" t="s">
        <v>63</v>
      </c>
      <c r="G20" s="18" t="str">
        <f t="shared" si="4"/>
        <v>27784.18</v>
      </c>
      <c r="H20" s="10">
        <f t="shared" si="5"/>
        <v>-4331</v>
      </c>
      <c r="I20" s="43" t="s">
        <v>79</v>
      </c>
      <c r="J20" s="44" t="s">
        <v>80</v>
      </c>
      <c r="K20" s="43">
        <v>-4331</v>
      </c>
      <c r="L20" s="43" t="s">
        <v>81</v>
      </c>
      <c r="M20" s="44" t="s">
        <v>68</v>
      </c>
      <c r="N20" s="44"/>
      <c r="O20" s="45" t="s">
        <v>74</v>
      </c>
      <c r="P20" s="45" t="s">
        <v>75</v>
      </c>
    </row>
    <row r="21" spans="1:16" ht="12.75" customHeight="1" thickBot="1" x14ac:dyDescent="0.25">
      <c r="A21" s="10" t="str">
        <f t="shared" si="0"/>
        <v> PZ 6.70 </v>
      </c>
      <c r="B21" s="3" t="str">
        <f t="shared" si="1"/>
        <v>I</v>
      </c>
      <c r="C21" s="10">
        <f t="shared" si="2"/>
        <v>28081.24</v>
      </c>
      <c r="D21" s="18" t="str">
        <f t="shared" si="3"/>
        <v>vis</v>
      </c>
      <c r="E21" s="42">
        <f>VLOOKUP(C21,Active!C$21:E$973,3,FALSE)</f>
        <v>-4234.9053191142011</v>
      </c>
      <c r="F21" s="3" t="s">
        <v>63</v>
      </c>
      <c r="G21" s="18" t="str">
        <f t="shared" si="4"/>
        <v>28081.24</v>
      </c>
      <c r="H21" s="10">
        <f t="shared" si="5"/>
        <v>-4235</v>
      </c>
      <c r="I21" s="43" t="s">
        <v>82</v>
      </c>
      <c r="J21" s="44" t="s">
        <v>83</v>
      </c>
      <c r="K21" s="43">
        <v>-4235</v>
      </c>
      <c r="L21" s="43" t="s">
        <v>84</v>
      </c>
      <c r="M21" s="44" t="s">
        <v>68</v>
      </c>
      <c r="N21" s="44"/>
      <c r="O21" s="45" t="s">
        <v>69</v>
      </c>
      <c r="P21" s="45" t="s">
        <v>70</v>
      </c>
    </row>
    <row r="22" spans="1:16" ht="12.75" customHeight="1" thickBot="1" x14ac:dyDescent="0.25">
      <c r="A22" s="10" t="str">
        <f t="shared" si="0"/>
        <v> PZ 6.70 </v>
      </c>
      <c r="B22" s="3" t="str">
        <f t="shared" si="1"/>
        <v>I</v>
      </c>
      <c r="C22" s="10">
        <f t="shared" si="2"/>
        <v>28573.09</v>
      </c>
      <c r="D22" s="18" t="str">
        <f t="shared" si="3"/>
        <v>vis</v>
      </c>
      <c r="E22" s="42">
        <f>VLOOKUP(C22,Active!C$21:E$973,3,FALSE)</f>
        <v>-4075.905050476968</v>
      </c>
      <c r="F22" s="3" t="s">
        <v>63</v>
      </c>
      <c r="G22" s="18" t="str">
        <f t="shared" si="4"/>
        <v>28573.09</v>
      </c>
      <c r="H22" s="10">
        <f t="shared" si="5"/>
        <v>-4076</v>
      </c>
      <c r="I22" s="43" t="s">
        <v>85</v>
      </c>
      <c r="J22" s="44" t="s">
        <v>86</v>
      </c>
      <c r="K22" s="43">
        <v>-4076</v>
      </c>
      <c r="L22" s="43" t="s">
        <v>84</v>
      </c>
      <c r="M22" s="44" t="s">
        <v>68</v>
      </c>
      <c r="N22" s="44"/>
      <c r="O22" s="45" t="s">
        <v>69</v>
      </c>
      <c r="P22" s="45" t="s">
        <v>70</v>
      </c>
    </row>
    <row r="23" spans="1:16" ht="12.75" customHeight="1" thickBot="1" x14ac:dyDescent="0.25">
      <c r="A23" s="10" t="str">
        <f t="shared" si="0"/>
        <v> PZ 5.162 </v>
      </c>
      <c r="B23" s="3" t="str">
        <f t="shared" si="1"/>
        <v>I</v>
      </c>
      <c r="C23" s="10">
        <f t="shared" si="2"/>
        <v>28573.200000000001</v>
      </c>
      <c r="D23" s="18" t="str">
        <f t="shared" si="3"/>
        <v>vis</v>
      </c>
      <c r="E23" s="42">
        <f>VLOOKUP(C23,Active!C$21:E$973,3,FALSE)</f>
        <v>-4075.8694907950526</v>
      </c>
      <c r="F23" s="3" t="s">
        <v>63</v>
      </c>
      <c r="G23" s="18" t="str">
        <f t="shared" si="4"/>
        <v>28573.20</v>
      </c>
      <c r="H23" s="10">
        <f t="shared" si="5"/>
        <v>-4076</v>
      </c>
      <c r="I23" s="43" t="s">
        <v>87</v>
      </c>
      <c r="J23" s="44" t="s">
        <v>88</v>
      </c>
      <c r="K23" s="43">
        <v>-4076</v>
      </c>
      <c r="L23" s="43" t="s">
        <v>89</v>
      </c>
      <c r="M23" s="44" t="s">
        <v>68</v>
      </c>
      <c r="N23" s="44"/>
      <c r="O23" s="45" t="s">
        <v>74</v>
      </c>
      <c r="P23" s="45" t="s">
        <v>75</v>
      </c>
    </row>
    <row r="24" spans="1:16" ht="12.75" customHeight="1" thickBot="1" x14ac:dyDescent="0.25">
      <c r="A24" s="10" t="str">
        <f t="shared" si="0"/>
        <v> PZ 5.162 </v>
      </c>
      <c r="B24" s="3" t="str">
        <f t="shared" si="1"/>
        <v>I</v>
      </c>
      <c r="C24" s="10">
        <f t="shared" si="2"/>
        <v>28576.22</v>
      </c>
      <c r="D24" s="18" t="str">
        <f t="shared" si="3"/>
        <v>vis</v>
      </c>
      <c r="E24" s="42">
        <f>VLOOKUP(C24,Active!C$21:E$973,3,FALSE)</f>
        <v>-4074.8932158915563</v>
      </c>
      <c r="F24" s="3" t="s">
        <v>63</v>
      </c>
      <c r="G24" s="18" t="str">
        <f t="shared" si="4"/>
        <v>28576.22</v>
      </c>
      <c r="H24" s="10">
        <f t="shared" si="5"/>
        <v>-4075</v>
      </c>
      <c r="I24" s="43" t="s">
        <v>90</v>
      </c>
      <c r="J24" s="44" t="s">
        <v>91</v>
      </c>
      <c r="K24" s="43">
        <v>-4075</v>
      </c>
      <c r="L24" s="43" t="s">
        <v>92</v>
      </c>
      <c r="M24" s="44" t="s">
        <v>68</v>
      </c>
      <c r="N24" s="44"/>
      <c r="O24" s="45" t="s">
        <v>74</v>
      </c>
      <c r="P24" s="45" t="s">
        <v>75</v>
      </c>
    </row>
    <row r="25" spans="1:16" ht="12.75" customHeight="1" thickBot="1" x14ac:dyDescent="0.25">
      <c r="A25" s="10" t="str">
        <f t="shared" si="0"/>
        <v> PZ 6.70 </v>
      </c>
      <c r="B25" s="3" t="str">
        <f t="shared" si="1"/>
        <v>I</v>
      </c>
      <c r="C25" s="10">
        <f t="shared" si="2"/>
        <v>28749.4</v>
      </c>
      <c r="D25" s="18" t="str">
        <f t="shared" si="3"/>
        <v>vis</v>
      </c>
      <c r="E25" s="42">
        <f>VLOOKUP(C25,Active!C$21:E$973,3,FALSE)</f>
        <v>-4018.909345763273</v>
      </c>
      <c r="F25" s="3" t="s">
        <v>63</v>
      </c>
      <c r="G25" s="18" t="str">
        <f t="shared" si="4"/>
        <v>28749.40</v>
      </c>
      <c r="H25" s="10">
        <f t="shared" si="5"/>
        <v>-4019</v>
      </c>
      <c r="I25" s="43" t="s">
        <v>93</v>
      </c>
      <c r="J25" s="44" t="s">
        <v>94</v>
      </c>
      <c r="K25" s="43">
        <v>-4019</v>
      </c>
      <c r="L25" s="43" t="s">
        <v>95</v>
      </c>
      <c r="M25" s="44" t="s">
        <v>68</v>
      </c>
      <c r="N25" s="44"/>
      <c r="O25" s="45" t="s">
        <v>69</v>
      </c>
      <c r="P25" s="45" t="s">
        <v>70</v>
      </c>
    </row>
    <row r="26" spans="1:16" ht="12.75" customHeight="1" thickBot="1" x14ac:dyDescent="0.25">
      <c r="A26" s="10" t="str">
        <f t="shared" si="0"/>
        <v> PZ 6.70 </v>
      </c>
      <c r="B26" s="3" t="str">
        <f t="shared" si="1"/>
        <v>I</v>
      </c>
      <c r="C26" s="10">
        <f t="shared" si="2"/>
        <v>28774.19</v>
      </c>
      <c r="D26" s="18" t="str">
        <f t="shared" si="3"/>
        <v>vis</v>
      </c>
      <c r="E26" s="42">
        <f>VLOOKUP(C26,Active!C$21:E$973,3,FALSE)</f>
        <v>-4010.8954865388823</v>
      </c>
      <c r="F26" s="3" t="s">
        <v>63</v>
      </c>
      <c r="G26" s="18" t="str">
        <f t="shared" si="4"/>
        <v>28774.19</v>
      </c>
      <c r="H26" s="10">
        <f t="shared" si="5"/>
        <v>-4011</v>
      </c>
      <c r="I26" s="43" t="s">
        <v>96</v>
      </c>
      <c r="J26" s="44" t="s">
        <v>97</v>
      </c>
      <c r="K26" s="43">
        <v>-4011</v>
      </c>
      <c r="L26" s="43" t="s">
        <v>98</v>
      </c>
      <c r="M26" s="44" t="s">
        <v>68</v>
      </c>
      <c r="N26" s="44"/>
      <c r="O26" s="45" t="s">
        <v>69</v>
      </c>
      <c r="P26" s="45" t="s">
        <v>70</v>
      </c>
    </row>
    <row r="27" spans="1:16" ht="12.75" customHeight="1" thickBot="1" x14ac:dyDescent="0.25">
      <c r="A27" s="10" t="str">
        <f t="shared" si="0"/>
        <v> PZ 6.70 </v>
      </c>
      <c r="B27" s="3" t="str">
        <f t="shared" si="1"/>
        <v>I</v>
      </c>
      <c r="C27" s="10">
        <f t="shared" si="2"/>
        <v>29547.5</v>
      </c>
      <c r="D27" s="18" t="str">
        <f t="shared" si="3"/>
        <v>vis</v>
      </c>
      <c r="E27" s="42">
        <f>VLOOKUP(C27,Active!C$21:E$973,3,FALSE)</f>
        <v>-3760.9076899751758</v>
      </c>
      <c r="F27" s="3" t="s">
        <v>63</v>
      </c>
      <c r="G27" s="18" t="str">
        <f t="shared" si="4"/>
        <v>29547.50</v>
      </c>
      <c r="H27" s="10">
        <f t="shared" si="5"/>
        <v>-3761</v>
      </c>
      <c r="I27" s="43" t="s">
        <v>99</v>
      </c>
      <c r="J27" s="44" t="s">
        <v>100</v>
      </c>
      <c r="K27" s="43">
        <v>-3761</v>
      </c>
      <c r="L27" s="43" t="s">
        <v>84</v>
      </c>
      <c r="M27" s="44" t="s">
        <v>68</v>
      </c>
      <c r="N27" s="44"/>
      <c r="O27" s="45" t="s">
        <v>69</v>
      </c>
      <c r="P27" s="45" t="s">
        <v>70</v>
      </c>
    </row>
    <row r="28" spans="1:16" ht="12.75" customHeight="1" thickBot="1" x14ac:dyDescent="0.25">
      <c r="A28" s="10" t="str">
        <f t="shared" si="0"/>
        <v> PZ 6.70 </v>
      </c>
      <c r="B28" s="3" t="str">
        <f t="shared" si="1"/>
        <v>I</v>
      </c>
      <c r="C28" s="10">
        <f t="shared" si="2"/>
        <v>29872.3</v>
      </c>
      <c r="D28" s="18" t="str">
        <f t="shared" si="3"/>
        <v>vis</v>
      </c>
      <c r="E28" s="42">
        <f>VLOOKUP(C28,Active!C$21:E$973,3,FALSE)</f>
        <v>-3655.9096473740306</v>
      </c>
      <c r="F28" s="3" t="s">
        <v>63</v>
      </c>
      <c r="G28" s="18" t="str">
        <f t="shared" si="4"/>
        <v>29872.30</v>
      </c>
      <c r="H28" s="10">
        <f t="shared" si="5"/>
        <v>-3656</v>
      </c>
      <c r="I28" s="43" t="s">
        <v>101</v>
      </c>
      <c r="J28" s="44" t="s">
        <v>102</v>
      </c>
      <c r="K28" s="43">
        <v>-3656</v>
      </c>
      <c r="L28" s="43" t="s">
        <v>95</v>
      </c>
      <c r="M28" s="44" t="s">
        <v>68</v>
      </c>
      <c r="N28" s="44"/>
      <c r="O28" s="45" t="s">
        <v>69</v>
      </c>
      <c r="P28" s="45" t="s">
        <v>70</v>
      </c>
    </row>
    <row r="29" spans="1:16" ht="12.75" customHeight="1" thickBot="1" x14ac:dyDescent="0.25">
      <c r="A29" s="10" t="str">
        <f t="shared" si="0"/>
        <v> AJ 62.374 </v>
      </c>
      <c r="B29" s="3" t="str">
        <f t="shared" si="1"/>
        <v>I</v>
      </c>
      <c r="C29" s="10">
        <f t="shared" si="2"/>
        <v>30642.571</v>
      </c>
      <c r="D29" s="18" t="str">
        <f t="shared" si="3"/>
        <v>vis</v>
      </c>
      <c r="E29" s="42">
        <f>VLOOKUP(C29,Active!C$21:E$973,3,FALSE)</f>
        <v>-3406.9042678406963</v>
      </c>
      <c r="F29" s="3" t="s">
        <v>63</v>
      </c>
      <c r="G29" s="18" t="str">
        <f t="shared" si="4"/>
        <v>30642.571</v>
      </c>
      <c r="H29" s="10">
        <f t="shared" si="5"/>
        <v>-3407</v>
      </c>
      <c r="I29" s="43" t="s">
        <v>103</v>
      </c>
      <c r="J29" s="44" t="s">
        <v>104</v>
      </c>
      <c r="K29" s="43">
        <v>-3407</v>
      </c>
      <c r="L29" s="43" t="s">
        <v>105</v>
      </c>
      <c r="M29" s="44" t="s">
        <v>64</v>
      </c>
      <c r="N29" s="44"/>
      <c r="O29" s="45" t="s">
        <v>106</v>
      </c>
      <c r="P29" s="45" t="s">
        <v>107</v>
      </c>
    </row>
    <row r="30" spans="1:16" ht="12.75" customHeight="1" thickBot="1" x14ac:dyDescent="0.25">
      <c r="A30" s="10" t="str">
        <f t="shared" si="0"/>
        <v> AJ 62.374 </v>
      </c>
      <c r="B30" s="3" t="str">
        <f t="shared" si="1"/>
        <v>I</v>
      </c>
      <c r="C30" s="10">
        <f t="shared" si="2"/>
        <v>31381.837</v>
      </c>
      <c r="D30" s="18" t="str">
        <f t="shared" si="3"/>
        <v>vis</v>
      </c>
      <c r="E30" s="42">
        <f>VLOOKUP(C30,Active!C$21:E$973,3,FALSE)</f>
        <v>-3167.9218695599743</v>
      </c>
      <c r="F30" s="3" t="s">
        <v>63</v>
      </c>
      <c r="G30" s="18" t="str">
        <f t="shared" si="4"/>
        <v>31381.837</v>
      </c>
      <c r="H30" s="10">
        <f t="shared" si="5"/>
        <v>-3168</v>
      </c>
      <c r="I30" s="43" t="s">
        <v>108</v>
      </c>
      <c r="J30" s="44" t="s">
        <v>109</v>
      </c>
      <c r="K30" s="43">
        <v>-3168</v>
      </c>
      <c r="L30" s="43" t="s">
        <v>110</v>
      </c>
      <c r="M30" s="44" t="s">
        <v>64</v>
      </c>
      <c r="N30" s="44"/>
      <c r="O30" s="45" t="s">
        <v>106</v>
      </c>
      <c r="P30" s="45" t="s">
        <v>107</v>
      </c>
    </row>
    <row r="31" spans="1:16" ht="12.75" customHeight="1" thickBot="1" x14ac:dyDescent="0.25">
      <c r="A31" s="10" t="str">
        <f t="shared" si="0"/>
        <v> AJ 62.374 </v>
      </c>
      <c r="B31" s="3" t="str">
        <f t="shared" si="1"/>
        <v>I</v>
      </c>
      <c r="C31" s="10">
        <f t="shared" si="2"/>
        <v>31703.562000000002</v>
      </c>
      <c r="D31" s="18" t="str">
        <f t="shared" si="3"/>
        <v>vis</v>
      </c>
      <c r="E31" s="42">
        <f>VLOOKUP(C31,Active!C$21:E$973,3,FALSE)</f>
        <v>-3063.9178817032821</v>
      </c>
      <c r="F31" s="3" t="s">
        <v>63</v>
      </c>
      <c r="G31" s="18" t="str">
        <f t="shared" si="4"/>
        <v>31703.562</v>
      </c>
      <c r="H31" s="10">
        <f t="shared" si="5"/>
        <v>-3064</v>
      </c>
      <c r="I31" s="43" t="s">
        <v>111</v>
      </c>
      <c r="J31" s="44" t="s">
        <v>112</v>
      </c>
      <c r="K31" s="43">
        <v>-3064</v>
      </c>
      <c r="L31" s="43" t="s">
        <v>113</v>
      </c>
      <c r="M31" s="44" t="s">
        <v>64</v>
      </c>
      <c r="N31" s="44"/>
      <c r="O31" s="45" t="s">
        <v>106</v>
      </c>
      <c r="P31" s="45" t="s">
        <v>107</v>
      </c>
    </row>
    <row r="32" spans="1:16" ht="12.75" customHeight="1" thickBot="1" x14ac:dyDescent="0.25">
      <c r="A32" s="10" t="str">
        <f t="shared" si="0"/>
        <v> AJ 62.374 </v>
      </c>
      <c r="B32" s="3" t="str">
        <f t="shared" si="1"/>
        <v>I</v>
      </c>
      <c r="C32" s="10">
        <f t="shared" si="2"/>
        <v>32009.815999999999</v>
      </c>
      <c r="D32" s="18" t="str">
        <f t="shared" si="3"/>
        <v>vis</v>
      </c>
      <c r="E32" s="42">
        <f>VLOOKUP(C32,Active!C$21:E$973,3,FALSE)</f>
        <v>-2964.9152014730757</v>
      </c>
      <c r="F32" s="3" t="s">
        <v>63</v>
      </c>
      <c r="G32" s="18" t="str">
        <f t="shared" si="4"/>
        <v>32009.816</v>
      </c>
      <c r="H32" s="10">
        <f t="shared" si="5"/>
        <v>-2965</v>
      </c>
      <c r="I32" s="43" t="s">
        <v>114</v>
      </c>
      <c r="J32" s="44" t="s">
        <v>115</v>
      </c>
      <c r="K32" s="43">
        <v>-2965</v>
      </c>
      <c r="L32" s="43" t="s">
        <v>116</v>
      </c>
      <c r="M32" s="44" t="s">
        <v>64</v>
      </c>
      <c r="N32" s="44"/>
      <c r="O32" s="45" t="s">
        <v>106</v>
      </c>
      <c r="P32" s="45" t="s">
        <v>107</v>
      </c>
    </row>
    <row r="33" spans="1:16" ht="12.75" customHeight="1" thickBot="1" x14ac:dyDescent="0.25">
      <c r="A33" s="10" t="str">
        <f t="shared" si="0"/>
        <v> AJ 62.374 </v>
      </c>
      <c r="B33" s="3" t="str">
        <f t="shared" si="1"/>
        <v>I</v>
      </c>
      <c r="C33" s="10">
        <f t="shared" si="2"/>
        <v>32501.627</v>
      </c>
      <c r="D33" s="18" t="str">
        <f t="shared" si="3"/>
        <v>vis</v>
      </c>
      <c r="E33" s="42">
        <f>VLOOKUP(C33,Active!C$21:E$973,3,FALSE)</f>
        <v>-2805.9275403594302</v>
      </c>
      <c r="F33" s="3" t="s">
        <v>63</v>
      </c>
      <c r="G33" s="18" t="str">
        <f t="shared" si="4"/>
        <v>32501.627</v>
      </c>
      <c r="H33" s="10">
        <f t="shared" si="5"/>
        <v>-2806</v>
      </c>
      <c r="I33" s="43" t="s">
        <v>117</v>
      </c>
      <c r="J33" s="44" t="s">
        <v>118</v>
      </c>
      <c r="K33" s="43">
        <v>-2806</v>
      </c>
      <c r="L33" s="43" t="s">
        <v>119</v>
      </c>
      <c r="M33" s="44" t="s">
        <v>64</v>
      </c>
      <c r="N33" s="44"/>
      <c r="O33" s="45" t="s">
        <v>106</v>
      </c>
      <c r="P33" s="45" t="s">
        <v>107</v>
      </c>
    </row>
    <row r="34" spans="1:16" ht="12.75" customHeight="1" thickBot="1" x14ac:dyDescent="0.25">
      <c r="A34" s="10" t="str">
        <f t="shared" si="0"/>
        <v> AJ 62.374 </v>
      </c>
      <c r="B34" s="3" t="str">
        <f t="shared" si="1"/>
        <v>I</v>
      </c>
      <c r="C34" s="10">
        <f t="shared" si="2"/>
        <v>32708.883000000002</v>
      </c>
      <c r="D34" s="18" t="str">
        <f t="shared" si="3"/>
        <v>vis</v>
      </c>
      <c r="E34" s="42">
        <f>VLOOKUP(C34,Active!C$21:E$973,3,FALSE)</f>
        <v>-2738.927927313423</v>
      </c>
      <c r="F34" s="3" t="s">
        <v>63</v>
      </c>
      <c r="G34" s="18" t="str">
        <f t="shared" si="4"/>
        <v>32708.883</v>
      </c>
      <c r="H34" s="10">
        <f t="shared" si="5"/>
        <v>-2739</v>
      </c>
      <c r="I34" s="43" t="s">
        <v>120</v>
      </c>
      <c r="J34" s="44" t="s">
        <v>121</v>
      </c>
      <c r="K34" s="43">
        <v>-2739</v>
      </c>
      <c r="L34" s="43" t="s">
        <v>122</v>
      </c>
      <c r="M34" s="44" t="s">
        <v>64</v>
      </c>
      <c r="N34" s="44"/>
      <c r="O34" s="45" t="s">
        <v>106</v>
      </c>
      <c r="P34" s="45" t="s">
        <v>107</v>
      </c>
    </row>
    <row r="35" spans="1:16" ht="12.75" customHeight="1" thickBot="1" x14ac:dyDescent="0.25">
      <c r="A35" s="10" t="str">
        <f t="shared" si="0"/>
        <v> AJ 62.374 </v>
      </c>
      <c r="B35" s="3" t="str">
        <f t="shared" si="1"/>
        <v>I</v>
      </c>
      <c r="C35" s="10">
        <f t="shared" si="2"/>
        <v>33101.701999999997</v>
      </c>
      <c r="D35" s="18" t="str">
        <f t="shared" si="3"/>
        <v>vis</v>
      </c>
      <c r="E35" s="42">
        <f>VLOOKUP(C35,Active!C$21:E$973,3,FALSE)</f>
        <v>-2611.9413937649656</v>
      </c>
      <c r="F35" s="3" t="s">
        <v>63</v>
      </c>
      <c r="G35" s="18" t="str">
        <f t="shared" si="4"/>
        <v>33101.702</v>
      </c>
      <c r="H35" s="10">
        <f t="shared" si="5"/>
        <v>-2612</v>
      </c>
      <c r="I35" s="43" t="s">
        <v>123</v>
      </c>
      <c r="J35" s="44" t="s">
        <v>124</v>
      </c>
      <c r="K35" s="43">
        <v>-2612</v>
      </c>
      <c r="L35" s="43" t="s">
        <v>125</v>
      </c>
      <c r="M35" s="44" t="s">
        <v>64</v>
      </c>
      <c r="N35" s="44"/>
      <c r="O35" s="45" t="s">
        <v>106</v>
      </c>
      <c r="P35" s="45" t="s">
        <v>107</v>
      </c>
    </row>
    <row r="36" spans="1:16" ht="12.75" customHeight="1" thickBot="1" x14ac:dyDescent="0.25">
      <c r="A36" s="10" t="str">
        <f t="shared" si="0"/>
        <v> AJ 62.374 </v>
      </c>
      <c r="B36" s="3" t="str">
        <f t="shared" si="1"/>
        <v>I</v>
      </c>
      <c r="C36" s="10">
        <f t="shared" si="2"/>
        <v>33503.845999999998</v>
      </c>
      <c r="D36" s="18" t="str">
        <f t="shared" si="3"/>
        <v>vis</v>
      </c>
      <c r="E36" s="42">
        <f>VLOOKUP(C36,Active!C$21:E$973,3,FALSE)</f>
        <v>-2481.940368999587</v>
      </c>
      <c r="F36" s="3" t="s">
        <v>63</v>
      </c>
      <c r="G36" s="18" t="str">
        <f t="shared" si="4"/>
        <v>33503.846</v>
      </c>
      <c r="H36" s="10">
        <f t="shared" si="5"/>
        <v>-2482</v>
      </c>
      <c r="I36" s="43" t="s">
        <v>126</v>
      </c>
      <c r="J36" s="44" t="s">
        <v>127</v>
      </c>
      <c r="K36" s="43">
        <v>-2482</v>
      </c>
      <c r="L36" s="43" t="s">
        <v>128</v>
      </c>
      <c r="M36" s="44" t="s">
        <v>64</v>
      </c>
      <c r="N36" s="44"/>
      <c r="O36" s="45" t="s">
        <v>106</v>
      </c>
      <c r="P36" s="45" t="s">
        <v>107</v>
      </c>
    </row>
    <row r="37" spans="1:16" ht="12.75" customHeight="1" thickBot="1" x14ac:dyDescent="0.25">
      <c r="A37" s="10" t="str">
        <f t="shared" si="0"/>
        <v> AJ 62.374 </v>
      </c>
      <c r="B37" s="3" t="str">
        <f t="shared" si="1"/>
        <v>I</v>
      </c>
      <c r="C37" s="10">
        <f t="shared" si="2"/>
        <v>34360.703999999998</v>
      </c>
      <c r="D37" s="18" t="str">
        <f t="shared" si="3"/>
        <v>vis</v>
      </c>
      <c r="E37" s="42">
        <f>VLOOKUP(C37,Active!C$21:E$973,3,FALSE)</f>
        <v>-2204.9440242116179</v>
      </c>
      <c r="F37" s="3" t="s">
        <v>63</v>
      </c>
      <c r="G37" s="18" t="str">
        <f t="shared" si="4"/>
        <v>34360.704</v>
      </c>
      <c r="H37" s="10">
        <f t="shared" si="5"/>
        <v>-2205</v>
      </c>
      <c r="I37" s="43" t="s">
        <v>129</v>
      </c>
      <c r="J37" s="44" t="s">
        <v>130</v>
      </c>
      <c r="K37" s="43">
        <v>-2205</v>
      </c>
      <c r="L37" s="43" t="s">
        <v>131</v>
      </c>
      <c r="M37" s="44" t="s">
        <v>64</v>
      </c>
      <c r="N37" s="44"/>
      <c r="O37" s="45" t="s">
        <v>106</v>
      </c>
      <c r="P37" s="45" t="s">
        <v>107</v>
      </c>
    </row>
    <row r="38" spans="1:16" ht="12.75" customHeight="1" thickBot="1" x14ac:dyDescent="0.25">
      <c r="A38" s="10" t="str">
        <f t="shared" si="0"/>
        <v> AJ 62.374 </v>
      </c>
      <c r="B38" s="3" t="str">
        <f t="shared" si="1"/>
        <v>I</v>
      </c>
      <c r="C38" s="10">
        <f t="shared" si="2"/>
        <v>35118.625</v>
      </c>
      <c r="D38" s="18" t="str">
        <f t="shared" si="3"/>
        <v>vis</v>
      </c>
      <c r="E38" s="42">
        <f>VLOOKUP(C38,Active!C$21:E$973,3,FALSE)</f>
        <v>-1959.9310271478771</v>
      </c>
      <c r="F38" s="3" t="s">
        <v>63</v>
      </c>
      <c r="G38" s="18" t="str">
        <f t="shared" si="4"/>
        <v>35118.625</v>
      </c>
      <c r="H38" s="10">
        <f t="shared" si="5"/>
        <v>-1960</v>
      </c>
      <c r="I38" s="43" t="s">
        <v>132</v>
      </c>
      <c r="J38" s="44" t="s">
        <v>133</v>
      </c>
      <c r="K38" s="43">
        <v>-1960</v>
      </c>
      <c r="L38" s="43" t="s">
        <v>134</v>
      </c>
      <c r="M38" s="44" t="s">
        <v>64</v>
      </c>
      <c r="N38" s="44"/>
      <c r="O38" s="45" t="s">
        <v>106</v>
      </c>
      <c r="P38" s="45" t="s">
        <v>107</v>
      </c>
    </row>
    <row r="39" spans="1:16" ht="12.75" customHeight="1" thickBot="1" x14ac:dyDescent="0.25">
      <c r="A39" s="10" t="str">
        <f t="shared" si="0"/>
        <v> MSAI 29.493 </v>
      </c>
      <c r="B39" s="3" t="str">
        <f t="shared" si="1"/>
        <v>I</v>
      </c>
      <c r="C39" s="10">
        <f t="shared" si="2"/>
        <v>35477.370000000003</v>
      </c>
      <c r="D39" s="18" t="str">
        <f t="shared" si="3"/>
        <v>vis</v>
      </c>
      <c r="E39" s="42">
        <f>VLOOKUP(C39,Active!C$21:E$973,3,FALSE)</f>
        <v>-1843.9595899774702</v>
      </c>
      <c r="F39" s="3" t="s">
        <v>63</v>
      </c>
      <c r="G39" s="18" t="str">
        <f t="shared" si="4"/>
        <v>35477.37</v>
      </c>
      <c r="H39" s="10">
        <f t="shared" si="5"/>
        <v>-1844</v>
      </c>
      <c r="I39" s="43" t="s">
        <v>135</v>
      </c>
      <c r="J39" s="44" t="s">
        <v>136</v>
      </c>
      <c r="K39" s="43">
        <v>-1844</v>
      </c>
      <c r="L39" s="43" t="s">
        <v>137</v>
      </c>
      <c r="M39" s="44" t="s">
        <v>68</v>
      </c>
      <c r="N39" s="44"/>
      <c r="O39" s="45" t="s">
        <v>138</v>
      </c>
      <c r="P39" s="45" t="s">
        <v>139</v>
      </c>
    </row>
    <row r="40" spans="1:16" ht="12.75" customHeight="1" thickBot="1" x14ac:dyDescent="0.25">
      <c r="A40" s="10" t="str">
        <f t="shared" si="0"/>
        <v> HABZ 57 </v>
      </c>
      <c r="B40" s="3" t="str">
        <f t="shared" si="1"/>
        <v>I</v>
      </c>
      <c r="C40" s="10">
        <f t="shared" si="2"/>
        <v>37367.375</v>
      </c>
      <c r="D40" s="18" t="str">
        <f t="shared" si="3"/>
        <v>vis</v>
      </c>
      <c r="E40" s="42">
        <f>VLOOKUP(C40,Active!C$21:E$973,3,FALSE)</f>
        <v>-1232.9779843543861</v>
      </c>
      <c r="F40" s="3" t="s">
        <v>63</v>
      </c>
      <c r="G40" s="18" t="str">
        <f t="shared" si="4"/>
        <v>37367.375</v>
      </c>
      <c r="H40" s="10">
        <f t="shared" si="5"/>
        <v>-1233</v>
      </c>
      <c r="I40" s="43" t="s">
        <v>140</v>
      </c>
      <c r="J40" s="44" t="s">
        <v>141</v>
      </c>
      <c r="K40" s="43">
        <v>-1233</v>
      </c>
      <c r="L40" s="43" t="s">
        <v>142</v>
      </c>
      <c r="M40" s="44" t="s">
        <v>68</v>
      </c>
      <c r="N40" s="44"/>
      <c r="O40" s="45" t="s">
        <v>143</v>
      </c>
      <c r="P40" s="45" t="s">
        <v>144</v>
      </c>
    </row>
    <row r="41" spans="1:16" ht="12.75" customHeight="1" thickBot="1" x14ac:dyDescent="0.25">
      <c r="A41" s="10" t="str">
        <f t="shared" si="0"/>
        <v> PZP 2.278 </v>
      </c>
      <c r="B41" s="3" t="str">
        <f t="shared" si="1"/>
        <v>I</v>
      </c>
      <c r="C41" s="10">
        <f t="shared" si="2"/>
        <v>38759.326999999997</v>
      </c>
      <c r="D41" s="18" t="str">
        <f t="shared" si="3"/>
        <v>vis</v>
      </c>
      <c r="E41" s="42">
        <f>VLOOKUP(C41,Active!C$21:E$973,3,FALSE)</f>
        <v>-783.00189015872911</v>
      </c>
      <c r="F41" s="3" t="s">
        <v>63</v>
      </c>
      <c r="G41" s="18" t="str">
        <f t="shared" si="4"/>
        <v>38759.327</v>
      </c>
      <c r="H41" s="10">
        <f t="shared" si="5"/>
        <v>-783</v>
      </c>
      <c r="I41" s="43" t="s">
        <v>145</v>
      </c>
      <c r="J41" s="44" t="s">
        <v>146</v>
      </c>
      <c r="K41" s="43">
        <v>-783</v>
      </c>
      <c r="L41" s="43" t="s">
        <v>147</v>
      </c>
      <c r="M41" s="44" t="s">
        <v>68</v>
      </c>
      <c r="N41" s="44"/>
      <c r="O41" s="45" t="s">
        <v>148</v>
      </c>
      <c r="P41" s="45" t="s">
        <v>149</v>
      </c>
    </row>
    <row r="42" spans="1:16" ht="12.75" customHeight="1" thickBot="1" x14ac:dyDescent="0.25">
      <c r="A42" s="10" t="str">
        <f t="shared" si="0"/>
        <v> PZP 2.278 </v>
      </c>
      <c r="B42" s="3" t="str">
        <f t="shared" si="1"/>
        <v>I</v>
      </c>
      <c r="C42" s="10">
        <f t="shared" si="2"/>
        <v>39056.303</v>
      </c>
      <c r="D42" s="18" t="str">
        <f t="shared" si="3"/>
        <v>vis</v>
      </c>
      <c r="E42" s="42">
        <f>VLOOKUP(C42,Active!C$21:E$973,3,FALSE)</f>
        <v>-686.99850746316872</v>
      </c>
      <c r="F42" s="3" t="s">
        <v>63</v>
      </c>
      <c r="G42" s="18" t="str">
        <f t="shared" si="4"/>
        <v>39056.303</v>
      </c>
      <c r="H42" s="10">
        <f t="shared" si="5"/>
        <v>-687</v>
      </c>
      <c r="I42" s="43" t="s">
        <v>150</v>
      </c>
      <c r="J42" s="44" t="s">
        <v>151</v>
      </c>
      <c r="K42" s="43">
        <v>-687</v>
      </c>
      <c r="L42" s="43" t="s">
        <v>152</v>
      </c>
      <c r="M42" s="44" t="s">
        <v>68</v>
      </c>
      <c r="N42" s="44"/>
      <c r="O42" s="45" t="s">
        <v>148</v>
      </c>
      <c r="P42" s="45" t="s">
        <v>149</v>
      </c>
    </row>
    <row r="43" spans="1:16" ht="12.75" customHeight="1" thickBot="1" x14ac:dyDescent="0.25">
      <c r="A43" s="10" t="str">
        <f t="shared" ref="A43:A74" si="6">P43</f>
        <v> HABZ 57 </v>
      </c>
      <c r="B43" s="3" t="str">
        <f t="shared" ref="B43:B74" si="7">IF(H43=INT(H43),"I","II")</f>
        <v>I</v>
      </c>
      <c r="C43" s="10">
        <f t="shared" ref="C43:C74" si="8">1*G43</f>
        <v>39056.455000000002</v>
      </c>
      <c r="D43" s="18" t="str">
        <f t="shared" ref="D43:D74" si="9">VLOOKUP(F43,I$1:J$5,2,FALSE)</f>
        <v>vis</v>
      </c>
      <c r="E43" s="42">
        <f>VLOOKUP(C43,Active!C$21:E$973,3,FALSE)</f>
        <v>-686.94937044815765</v>
      </c>
      <c r="F43" s="3" t="s">
        <v>63</v>
      </c>
      <c r="G43" s="18" t="str">
        <f t="shared" ref="G43:G74" si="10">MID(I43,3,LEN(I43)-3)</f>
        <v>39056.455</v>
      </c>
      <c r="H43" s="10">
        <f t="shared" ref="H43:H74" si="11">1*K43</f>
        <v>-687</v>
      </c>
      <c r="I43" s="43" t="s">
        <v>153</v>
      </c>
      <c r="J43" s="44" t="s">
        <v>154</v>
      </c>
      <c r="K43" s="43">
        <v>-687</v>
      </c>
      <c r="L43" s="43" t="s">
        <v>155</v>
      </c>
      <c r="M43" s="44" t="s">
        <v>68</v>
      </c>
      <c r="N43" s="44"/>
      <c r="O43" s="45" t="s">
        <v>143</v>
      </c>
      <c r="P43" s="45" t="s">
        <v>144</v>
      </c>
    </row>
    <row r="44" spans="1:16" ht="12.75" customHeight="1" thickBot="1" x14ac:dyDescent="0.25">
      <c r="A44" s="10" t="str">
        <f t="shared" si="6"/>
        <v> HABZ 57 </v>
      </c>
      <c r="B44" s="3" t="str">
        <f t="shared" si="7"/>
        <v>I</v>
      </c>
      <c r="C44" s="10">
        <f t="shared" si="8"/>
        <v>39059.446000000004</v>
      </c>
      <c r="D44" s="18" t="str">
        <f t="shared" si="9"/>
        <v>vis</v>
      </c>
      <c r="E44" s="42">
        <f>VLOOKUP(C44,Active!C$21:E$973,3,FALSE)</f>
        <v>-685.98247036989346</v>
      </c>
      <c r="F44" s="3" t="s">
        <v>63</v>
      </c>
      <c r="G44" s="18" t="str">
        <f t="shared" si="10"/>
        <v>39059.446</v>
      </c>
      <c r="H44" s="10">
        <f t="shared" si="11"/>
        <v>-686</v>
      </c>
      <c r="I44" s="43" t="s">
        <v>156</v>
      </c>
      <c r="J44" s="44" t="s">
        <v>157</v>
      </c>
      <c r="K44" s="43">
        <v>-686</v>
      </c>
      <c r="L44" s="43" t="s">
        <v>158</v>
      </c>
      <c r="M44" s="44" t="s">
        <v>68</v>
      </c>
      <c r="N44" s="44"/>
      <c r="O44" s="45" t="s">
        <v>143</v>
      </c>
      <c r="P44" s="45" t="s">
        <v>144</v>
      </c>
    </row>
    <row r="45" spans="1:16" ht="12.75" customHeight="1" thickBot="1" x14ac:dyDescent="0.25">
      <c r="A45" s="10" t="str">
        <f t="shared" si="6"/>
        <v> HABZ 57 </v>
      </c>
      <c r="B45" s="3" t="str">
        <f t="shared" si="7"/>
        <v>I</v>
      </c>
      <c r="C45" s="10">
        <f t="shared" si="8"/>
        <v>40151.379999999997</v>
      </c>
      <c r="D45" s="18" t="str">
        <f t="shared" si="9"/>
        <v>vis</v>
      </c>
      <c r="E45" s="42">
        <f>VLOOKUP(C45,Active!C$21:E$973,3,FALSE)</f>
        <v>-332.9931457096763</v>
      </c>
      <c r="F45" s="3" t="s">
        <v>63</v>
      </c>
      <c r="G45" s="18" t="str">
        <f t="shared" si="10"/>
        <v>40151.380</v>
      </c>
      <c r="H45" s="10">
        <f t="shared" si="11"/>
        <v>-333</v>
      </c>
      <c r="I45" s="43" t="s">
        <v>159</v>
      </c>
      <c r="J45" s="44" t="s">
        <v>160</v>
      </c>
      <c r="K45" s="43">
        <v>-333</v>
      </c>
      <c r="L45" s="43" t="s">
        <v>161</v>
      </c>
      <c r="M45" s="44" t="s">
        <v>68</v>
      </c>
      <c r="N45" s="44"/>
      <c r="O45" s="45" t="s">
        <v>143</v>
      </c>
      <c r="P45" s="45" t="s">
        <v>144</v>
      </c>
    </row>
    <row r="46" spans="1:16" ht="12.75" customHeight="1" thickBot="1" x14ac:dyDescent="0.25">
      <c r="A46" s="10" t="str">
        <f t="shared" si="6"/>
        <v> PZP 2.278 </v>
      </c>
      <c r="B46" s="3" t="str">
        <f t="shared" si="7"/>
        <v>I</v>
      </c>
      <c r="C46" s="10">
        <f t="shared" si="8"/>
        <v>41181.409</v>
      </c>
      <c r="D46" s="18" t="str">
        <f t="shared" si="9"/>
        <v>vis</v>
      </c>
      <c r="E46" s="42">
        <f>VLOOKUP(C46,Active!C$21:E$973,3,FALSE)</f>
        <v>-1.5840221943837256E-2</v>
      </c>
      <c r="F46" s="3" t="s">
        <v>63</v>
      </c>
      <c r="G46" s="18" t="str">
        <f t="shared" si="10"/>
        <v>41181.409</v>
      </c>
      <c r="H46" s="10">
        <f t="shared" si="11"/>
        <v>0</v>
      </c>
      <c r="I46" s="43" t="s">
        <v>162</v>
      </c>
      <c r="J46" s="44" t="s">
        <v>163</v>
      </c>
      <c r="K46" s="43">
        <v>0</v>
      </c>
      <c r="L46" s="43" t="s">
        <v>164</v>
      </c>
      <c r="M46" s="44" t="s">
        <v>68</v>
      </c>
      <c r="N46" s="44"/>
      <c r="O46" s="45" t="s">
        <v>148</v>
      </c>
      <c r="P46" s="45" t="s">
        <v>149</v>
      </c>
    </row>
    <row r="47" spans="1:16" ht="12.75" customHeight="1" thickBot="1" x14ac:dyDescent="0.25">
      <c r="A47" s="10" t="str">
        <f t="shared" si="6"/>
        <v> PZP 2.278 </v>
      </c>
      <c r="B47" s="3" t="str">
        <f t="shared" si="7"/>
        <v>I</v>
      </c>
      <c r="C47" s="10">
        <f t="shared" si="8"/>
        <v>41181.442000000003</v>
      </c>
      <c r="D47" s="18" t="str">
        <f t="shared" si="9"/>
        <v>vis</v>
      </c>
      <c r="E47" s="42">
        <f>VLOOKUP(C47,Active!C$21:E$973,3,FALSE)</f>
        <v>-5.1723173682161972E-3</v>
      </c>
      <c r="F47" s="3" t="s">
        <v>63</v>
      </c>
      <c r="G47" s="18" t="str">
        <f t="shared" si="10"/>
        <v>41181.442</v>
      </c>
      <c r="H47" s="10">
        <f t="shared" si="11"/>
        <v>0</v>
      </c>
      <c r="I47" s="43" t="s">
        <v>165</v>
      </c>
      <c r="J47" s="44" t="s">
        <v>166</v>
      </c>
      <c r="K47" s="43">
        <v>0</v>
      </c>
      <c r="L47" s="43" t="s">
        <v>167</v>
      </c>
      <c r="M47" s="44" t="s">
        <v>68</v>
      </c>
      <c r="N47" s="44"/>
      <c r="O47" s="45" t="s">
        <v>148</v>
      </c>
      <c r="P47" s="45" t="s">
        <v>149</v>
      </c>
    </row>
    <row r="48" spans="1:16" ht="12.75" customHeight="1" thickBot="1" x14ac:dyDescent="0.25">
      <c r="A48" s="10" t="str">
        <f t="shared" si="6"/>
        <v> HABZ 57 </v>
      </c>
      <c r="B48" s="3" t="str">
        <f t="shared" si="7"/>
        <v>I</v>
      </c>
      <c r="C48" s="10">
        <f t="shared" si="8"/>
        <v>41181.453999999998</v>
      </c>
      <c r="D48" s="18" t="str">
        <f t="shared" si="9"/>
        <v>vis</v>
      </c>
      <c r="E48" s="42">
        <f>VLOOKUP(C48,Active!C$21:E$973,3,FALSE)</f>
        <v>-1.2930793426420737E-3</v>
      </c>
      <c r="F48" s="3" t="s">
        <v>63</v>
      </c>
      <c r="G48" s="18" t="str">
        <f t="shared" si="10"/>
        <v>41181.454</v>
      </c>
      <c r="H48" s="10">
        <f t="shared" si="11"/>
        <v>0</v>
      </c>
      <c r="I48" s="43" t="s">
        <v>168</v>
      </c>
      <c r="J48" s="44" t="s">
        <v>169</v>
      </c>
      <c r="K48" s="43">
        <v>0</v>
      </c>
      <c r="L48" s="43" t="s">
        <v>170</v>
      </c>
      <c r="M48" s="44" t="s">
        <v>68</v>
      </c>
      <c r="N48" s="44"/>
      <c r="O48" s="45" t="s">
        <v>143</v>
      </c>
      <c r="P48" s="45" t="s">
        <v>144</v>
      </c>
    </row>
    <row r="49" spans="1:16" ht="12.75" customHeight="1" thickBot="1" x14ac:dyDescent="0.25">
      <c r="A49" s="10" t="str">
        <f t="shared" si="6"/>
        <v> PZP 2.278 </v>
      </c>
      <c r="B49" s="3" t="str">
        <f t="shared" si="7"/>
        <v>I</v>
      </c>
      <c r="C49" s="10">
        <f t="shared" si="8"/>
        <v>41181.474999999999</v>
      </c>
      <c r="D49" s="18" t="str">
        <f t="shared" si="9"/>
        <v>vis</v>
      </c>
      <c r="E49" s="42">
        <f>VLOOKUP(C49,Active!C$21:E$973,3,FALSE)</f>
        <v>5.4955872050527644E-3</v>
      </c>
      <c r="F49" s="3" t="s">
        <v>63</v>
      </c>
      <c r="G49" s="18" t="str">
        <f t="shared" si="10"/>
        <v>41181.475</v>
      </c>
      <c r="H49" s="10">
        <f t="shared" si="11"/>
        <v>0</v>
      </c>
      <c r="I49" s="43" t="s">
        <v>171</v>
      </c>
      <c r="J49" s="44" t="s">
        <v>172</v>
      </c>
      <c r="K49" s="43">
        <v>0</v>
      </c>
      <c r="L49" s="43" t="s">
        <v>173</v>
      </c>
      <c r="M49" s="44" t="s">
        <v>68</v>
      </c>
      <c r="N49" s="44"/>
      <c r="O49" s="45" t="s">
        <v>148</v>
      </c>
      <c r="P49" s="45" t="s">
        <v>149</v>
      </c>
    </row>
    <row r="50" spans="1:16" ht="12.75" customHeight="1" thickBot="1" x14ac:dyDescent="0.25">
      <c r="A50" s="10" t="str">
        <f t="shared" si="6"/>
        <v> PZP 2.278 </v>
      </c>
      <c r="B50" s="3" t="str">
        <f t="shared" si="7"/>
        <v>I</v>
      </c>
      <c r="C50" s="10">
        <f t="shared" si="8"/>
        <v>41181.508000000002</v>
      </c>
      <c r="D50" s="18" t="str">
        <f t="shared" si="9"/>
        <v>vis</v>
      </c>
      <c r="E50" s="42">
        <f>VLOOKUP(C50,Active!C$21:E$973,3,FALSE)</f>
        <v>1.6163491780673826E-2</v>
      </c>
      <c r="F50" s="3" t="s">
        <v>63</v>
      </c>
      <c r="G50" s="18" t="str">
        <f t="shared" si="10"/>
        <v>41181.508</v>
      </c>
      <c r="H50" s="10">
        <f t="shared" si="11"/>
        <v>0</v>
      </c>
      <c r="I50" s="43" t="s">
        <v>174</v>
      </c>
      <c r="J50" s="44" t="s">
        <v>175</v>
      </c>
      <c r="K50" s="43">
        <v>0</v>
      </c>
      <c r="L50" s="43" t="s">
        <v>176</v>
      </c>
      <c r="M50" s="44" t="s">
        <v>68</v>
      </c>
      <c r="N50" s="44"/>
      <c r="O50" s="45" t="s">
        <v>148</v>
      </c>
      <c r="P50" s="45" t="s">
        <v>149</v>
      </c>
    </row>
    <row r="51" spans="1:16" ht="12.75" customHeight="1" thickBot="1" x14ac:dyDescent="0.25">
      <c r="A51" s="10" t="str">
        <f t="shared" si="6"/>
        <v> PZP 2.278 </v>
      </c>
      <c r="B51" s="3" t="str">
        <f t="shared" si="7"/>
        <v>I</v>
      </c>
      <c r="C51" s="10">
        <f t="shared" si="8"/>
        <v>41212.334000000003</v>
      </c>
      <c r="D51" s="18" t="str">
        <f t="shared" si="9"/>
        <v>vis</v>
      </c>
      <c r="E51" s="42">
        <f>VLOOKUP(C51,Active!C$21:E$973,3,FALSE)</f>
        <v>9.9812794438219559</v>
      </c>
      <c r="F51" s="3" t="s">
        <v>63</v>
      </c>
      <c r="G51" s="18" t="str">
        <f t="shared" si="10"/>
        <v>41212.334</v>
      </c>
      <c r="H51" s="10">
        <f t="shared" si="11"/>
        <v>10</v>
      </c>
      <c r="I51" s="43" t="s">
        <v>177</v>
      </c>
      <c r="J51" s="44" t="s">
        <v>178</v>
      </c>
      <c r="K51" s="43">
        <v>10</v>
      </c>
      <c r="L51" s="43" t="s">
        <v>179</v>
      </c>
      <c r="M51" s="44" t="s">
        <v>68</v>
      </c>
      <c r="N51" s="44"/>
      <c r="O51" s="45" t="s">
        <v>148</v>
      </c>
      <c r="P51" s="45" t="s">
        <v>149</v>
      </c>
    </row>
    <row r="52" spans="1:16" ht="12.75" customHeight="1" thickBot="1" x14ac:dyDescent="0.25">
      <c r="A52" s="10" t="str">
        <f t="shared" si="6"/>
        <v> PZP 2.278 </v>
      </c>
      <c r="B52" s="3" t="str">
        <f t="shared" si="7"/>
        <v>I</v>
      </c>
      <c r="C52" s="10">
        <f t="shared" si="8"/>
        <v>41240.286</v>
      </c>
      <c r="D52" s="18" t="str">
        <f t="shared" si="9"/>
        <v>vis</v>
      </c>
      <c r="E52" s="42">
        <f>VLOOKUP(C52,Active!C$21:E$973,3,FALSE)</f>
        <v>19.017317888363074</v>
      </c>
      <c r="F52" s="3" t="s">
        <v>63</v>
      </c>
      <c r="G52" s="18" t="str">
        <f t="shared" si="10"/>
        <v>41240.286</v>
      </c>
      <c r="H52" s="10">
        <f t="shared" si="11"/>
        <v>19</v>
      </c>
      <c r="I52" s="43" t="s">
        <v>180</v>
      </c>
      <c r="J52" s="44" t="s">
        <v>181</v>
      </c>
      <c r="K52" s="43">
        <v>19</v>
      </c>
      <c r="L52" s="43" t="s">
        <v>158</v>
      </c>
      <c r="M52" s="44" t="s">
        <v>68</v>
      </c>
      <c r="N52" s="44"/>
      <c r="O52" s="45" t="s">
        <v>148</v>
      </c>
      <c r="P52" s="45" t="s">
        <v>149</v>
      </c>
    </row>
    <row r="53" spans="1:16" ht="12.75" customHeight="1" thickBot="1" x14ac:dyDescent="0.25">
      <c r="A53" s="10" t="str">
        <f t="shared" si="6"/>
        <v> PZP 2.278 </v>
      </c>
      <c r="B53" s="3" t="str">
        <f t="shared" si="7"/>
        <v>I</v>
      </c>
      <c r="C53" s="10">
        <f t="shared" si="8"/>
        <v>41546.457000000002</v>
      </c>
      <c r="D53" s="18" t="str">
        <f t="shared" si="9"/>
        <v>vis</v>
      </c>
      <c r="E53" s="42">
        <f>VLOOKUP(C53,Active!C$21:E$973,3,FALSE)</f>
        <v>117.99316672221632</v>
      </c>
      <c r="F53" s="3" t="s">
        <v>63</v>
      </c>
      <c r="G53" s="18" t="str">
        <f t="shared" si="10"/>
        <v>41546.457</v>
      </c>
      <c r="H53" s="10">
        <f t="shared" si="11"/>
        <v>118</v>
      </c>
      <c r="I53" s="43" t="s">
        <v>182</v>
      </c>
      <c r="J53" s="44" t="s">
        <v>183</v>
      </c>
      <c r="K53" s="43">
        <v>118</v>
      </c>
      <c r="L53" s="43" t="s">
        <v>184</v>
      </c>
      <c r="M53" s="44" t="s">
        <v>68</v>
      </c>
      <c r="N53" s="44"/>
      <c r="O53" s="45" t="s">
        <v>148</v>
      </c>
      <c r="P53" s="45" t="s">
        <v>149</v>
      </c>
    </row>
    <row r="54" spans="1:16" ht="12.75" customHeight="1" thickBot="1" x14ac:dyDescent="0.25">
      <c r="A54" s="10" t="str">
        <f t="shared" si="6"/>
        <v> PZP 2.278 </v>
      </c>
      <c r="B54" s="3" t="str">
        <f t="shared" si="7"/>
        <v>I</v>
      </c>
      <c r="C54" s="10">
        <f t="shared" si="8"/>
        <v>41546.489000000001</v>
      </c>
      <c r="D54" s="18" t="str">
        <f t="shared" si="9"/>
        <v>vis</v>
      </c>
      <c r="E54" s="42">
        <f>VLOOKUP(C54,Active!C$21:E$973,3,FALSE)</f>
        <v>118.0035113569551</v>
      </c>
      <c r="F54" s="3" t="s">
        <v>63</v>
      </c>
      <c r="G54" s="18" t="str">
        <f t="shared" si="10"/>
        <v>41546.489</v>
      </c>
      <c r="H54" s="10">
        <f t="shared" si="11"/>
        <v>118</v>
      </c>
      <c r="I54" s="43" t="s">
        <v>185</v>
      </c>
      <c r="J54" s="44" t="s">
        <v>186</v>
      </c>
      <c r="K54" s="43">
        <v>118</v>
      </c>
      <c r="L54" s="43" t="s">
        <v>187</v>
      </c>
      <c r="M54" s="44" t="s">
        <v>68</v>
      </c>
      <c r="N54" s="44"/>
      <c r="O54" s="45" t="s">
        <v>148</v>
      </c>
      <c r="P54" s="45" t="s">
        <v>149</v>
      </c>
    </row>
    <row r="55" spans="1:16" ht="12.75" customHeight="1" thickBot="1" x14ac:dyDescent="0.25">
      <c r="A55" s="10" t="str">
        <f t="shared" si="6"/>
        <v> HABZ 57 </v>
      </c>
      <c r="B55" s="3" t="str">
        <f t="shared" si="7"/>
        <v>I</v>
      </c>
      <c r="C55" s="10">
        <f t="shared" si="8"/>
        <v>41973.332000000002</v>
      </c>
      <c r="D55" s="18" t="str">
        <f t="shared" si="9"/>
        <v>vis</v>
      </c>
      <c r="E55" s="42">
        <f>VLOOKUP(C55,Active!C$21:E$973,3,FALSE)</f>
        <v>255.98897779168666</v>
      </c>
      <c r="F55" s="3" t="s">
        <v>63</v>
      </c>
      <c r="G55" s="18" t="str">
        <f t="shared" si="10"/>
        <v>41973.332</v>
      </c>
      <c r="H55" s="10">
        <f t="shared" si="11"/>
        <v>256</v>
      </c>
      <c r="I55" s="43" t="s">
        <v>188</v>
      </c>
      <c r="J55" s="44" t="s">
        <v>189</v>
      </c>
      <c r="K55" s="43">
        <v>256</v>
      </c>
      <c r="L55" s="43" t="s">
        <v>190</v>
      </c>
      <c r="M55" s="44" t="s">
        <v>68</v>
      </c>
      <c r="N55" s="44"/>
      <c r="O55" s="45" t="s">
        <v>143</v>
      </c>
      <c r="P55" s="45" t="s">
        <v>144</v>
      </c>
    </row>
    <row r="56" spans="1:16" ht="12.75" customHeight="1" thickBot="1" x14ac:dyDescent="0.25">
      <c r="A56" s="10" t="str">
        <f t="shared" si="6"/>
        <v>BAVM 157 </v>
      </c>
      <c r="B56" s="3" t="str">
        <f t="shared" si="7"/>
        <v>I</v>
      </c>
      <c r="C56" s="10">
        <f t="shared" si="8"/>
        <v>52617.478000000003</v>
      </c>
      <c r="D56" s="18" t="str">
        <f t="shared" si="9"/>
        <v>vis</v>
      </c>
      <c r="E56" s="42">
        <f>VLOOKUP(C56,Active!C$21:E$973,3,FALSE)</f>
        <v>3696.9203052572416</v>
      </c>
      <c r="F56" s="3" t="s">
        <v>63</v>
      </c>
      <c r="G56" s="18" t="str">
        <f t="shared" si="10"/>
        <v>52617.478</v>
      </c>
      <c r="H56" s="10">
        <f t="shared" si="11"/>
        <v>3697</v>
      </c>
      <c r="I56" s="43" t="s">
        <v>191</v>
      </c>
      <c r="J56" s="44" t="s">
        <v>192</v>
      </c>
      <c r="K56" s="43">
        <v>3697</v>
      </c>
      <c r="L56" s="43" t="s">
        <v>193</v>
      </c>
      <c r="M56" s="44" t="s">
        <v>194</v>
      </c>
      <c r="N56" s="44"/>
      <c r="O56" s="45" t="s">
        <v>195</v>
      </c>
      <c r="P56" s="46" t="s">
        <v>196</v>
      </c>
    </row>
    <row r="57" spans="1:16" ht="12.75" customHeight="1" thickBot="1" x14ac:dyDescent="0.25">
      <c r="A57" s="10" t="str">
        <f t="shared" si="6"/>
        <v>BAVM 157 </v>
      </c>
      <c r="B57" s="3" t="str">
        <f t="shared" si="7"/>
        <v>I</v>
      </c>
      <c r="C57" s="10">
        <f t="shared" si="8"/>
        <v>52648.415000000001</v>
      </c>
      <c r="D57" s="18" t="str">
        <f t="shared" si="9"/>
        <v>vis</v>
      </c>
      <c r="E57" s="42">
        <f>VLOOKUP(C57,Active!C$21:E$973,3,FALSE)</f>
        <v>3706.9213041610328</v>
      </c>
      <c r="F57" s="3" t="s">
        <v>63</v>
      </c>
      <c r="G57" s="18" t="str">
        <f t="shared" si="10"/>
        <v>52648.415</v>
      </c>
      <c r="H57" s="10">
        <f t="shared" si="11"/>
        <v>3707</v>
      </c>
      <c r="I57" s="43" t="s">
        <v>197</v>
      </c>
      <c r="J57" s="44" t="s">
        <v>198</v>
      </c>
      <c r="K57" s="43">
        <v>3707</v>
      </c>
      <c r="L57" s="43" t="s">
        <v>199</v>
      </c>
      <c r="M57" s="44" t="s">
        <v>194</v>
      </c>
      <c r="N57" s="44"/>
      <c r="O57" s="45" t="s">
        <v>195</v>
      </c>
      <c r="P57" s="46" t="s">
        <v>196</v>
      </c>
    </row>
    <row r="58" spans="1:16" ht="12.75" customHeight="1" thickBot="1" x14ac:dyDescent="0.25">
      <c r="A58" s="10" t="str">
        <f t="shared" si="6"/>
        <v> JAAVSO 39;102 </v>
      </c>
      <c r="B58" s="3" t="str">
        <f t="shared" si="7"/>
        <v>I</v>
      </c>
      <c r="C58" s="10">
        <f t="shared" si="8"/>
        <v>53579.459000000003</v>
      </c>
      <c r="D58" s="18" t="str">
        <f t="shared" si="9"/>
        <v>vis</v>
      </c>
      <c r="E58" s="42">
        <f>VLOOKUP(C58,Active!C$21:E$973,3,FALSE)</f>
        <v>4007.8997449724279</v>
      </c>
      <c r="F58" s="3" t="s">
        <v>63</v>
      </c>
      <c r="G58" s="18" t="str">
        <f t="shared" si="10"/>
        <v>53579.459</v>
      </c>
      <c r="H58" s="10">
        <f t="shared" si="11"/>
        <v>4008</v>
      </c>
      <c r="I58" s="43" t="s">
        <v>219</v>
      </c>
      <c r="J58" s="44" t="s">
        <v>220</v>
      </c>
      <c r="K58" s="43" t="s">
        <v>221</v>
      </c>
      <c r="L58" s="43" t="s">
        <v>222</v>
      </c>
      <c r="M58" s="44" t="s">
        <v>223</v>
      </c>
      <c r="N58" s="44" t="s">
        <v>63</v>
      </c>
      <c r="O58" s="45" t="s">
        <v>224</v>
      </c>
      <c r="P58" s="45" t="s">
        <v>225</v>
      </c>
    </row>
    <row r="59" spans="1:16" ht="12.75" customHeight="1" thickBot="1" x14ac:dyDescent="0.25">
      <c r="A59" s="10" t="str">
        <f t="shared" si="6"/>
        <v> JAAVSO 39;102 </v>
      </c>
      <c r="B59" s="3" t="str">
        <f t="shared" si="7"/>
        <v>I</v>
      </c>
      <c r="C59" s="10">
        <f t="shared" si="8"/>
        <v>53644.42</v>
      </c>
      <c r="D59" s="18" t="str">
        <f t="shared" si="9"/>
        <v>vis</v>
      </c>
      <c r="E59" s="42">
        <f>VLOOKUP(C59,Active!C$21:E$973,3,FALSE)</f>
        <v>4028.8996767624913</v>
      </c>
      <c r="F59" s="3" t="s">
        <v>63</v>
      </c>
      <c r="G59" s="18" t="str">
        <f t="shared" si="10"/>
        <v>53644.420</v>
      </c>
      <c r="H59" s="10">
        <f t="shared" si="11"/>
        <v>4029</v>
      </c>
      <c r="I59" s="43" t="s">
        <v>237</v>
      </c>
      <c r="J59" s="44" t="s">
        <v>238</v>
      </c>
      <c r="K59" s="43" t="s">
        <v>239</v>
      </c>
      <c r="L59" s="43" t="s">
        <v>222</v>
      </c>
      <c r="M59" s="44" t="s">
        <v>223</v>
      </c>
      <c r="N59" s="44" t="s">
        <v>63</v>
      </c>
      <c r="O59" s="45" t="s">
        <v>224</v>
      </c>
      <c r="P59" s="45" t="s">
        <v>225</v>
      </c>
    </row>
    <row r="60" spans="1:16" ht="12.75" customHeight="1" thickBot="1" x14ac:dyDescent="0.25">
      <c r="A60" s="10" t="str">
        <f t="shared" si="6"/>
        <v> JAAVSO 39;102 </v>
      </c>
      <c r="B60" s="3" t="str">
        <f t="shared" si="7"/>
        <v>I</v>
      </c>
      <c r="C60" s="10">
        <f t="shared" si="8"/>
        <v>53644.421999999999</v>
      </c>
      <c r="D60" s="18" t="str">
        <f t="shared" si="9"/>
        <v>vis</v>
      </c>
      <c r="E60" s="42">
        <f>VLOOKUP(C60,Active!C$21:E$973,3,FALSE)</f>
        <v>4028.9003233021626</v>
      </c>
      <c r="F60" s="3" t="s">
        <v>63</v>
      </c>
      <c r="G60" s="18" t="str">
        <f t="shared" si="10"/>
        <v>53644.422</v>
      </c>
      <c r="H60" s="10">
        <f t="shared" si="11"/>
        <v>4029</v>
      </c>
      <c r="I60" s="43" t="s">
        <v>240</v>
      </c>
      <c r="J60" s="44" t="s">
        <v>241</v>
      </c>
      <c r="K60" s="43" t="s">
        <v>239</v>
      </c>
      <c r="L60" s="43" t="s">
        <v>235</v>
      </c>
      <c r="M60" s="44" t="s">
        <v>223</v>
      </c>
      <c r="N60" s="44" t="s">
        <v>63</v>
      </c>
      <c r="O60" s="45" t="s">
        <v>224</v>
      </c>
      <c r="P60" s="45" t="s">
        <v>225</v>
      </c>
    </row>
    <row r="61" spans="1:16" ht="12.75" customHeight="1" thickBot="1" x14ac:dyDescent="0.25">
      <c r="A61" s="10" t="str">
        <f t="shared" si="6"/>
        <v> JAAVSO 39;102 </v>
      </c>
      <c r="B61" s="3" t="str">
        <f t="shared" si="7"/>
        <v>I</v>
      </c>
      <c r="C61" s="10">
        <f t="shared" si="8"/>
        <v>53706.288999999997</v>
      </c>
      <c r="D61" s="18" t="str">
        <f t="shared" si="9"/>
        <v>vis</v>
      </c>
      <c r="E61" s="42">
        <f>VLOOKUP(C61,Active!C$21:E$973,3,FALSE)</f>
        <v>4048.9000582208969</v>
      </c>
      <c r="F61" s="3" t="s">
        <v>63</v>
      </c>
      <c r="G61" s="18" t="str">
        <f t="shared" si="10"/>
        <v>53706.289</v>
      </c>
      <c r="H61" s="10">
        <f t="shared" si="11"/>
        <v>4049</v>
      </c>
      <c r="I61" s="43" t="s">
        <v>242</v>
      </c>
      <c r="J61" s="44" t="s">
        <v>243</v>
      </c>
      <c r="K61" s="43" t="s">
        <v>244</v>
      </c>
      <c r="L61" s="43" t="s">
        <v>245</v>
      </c>
      <c r="M61" s="44" t="s">
        <v>223</v>
      </c>
      <c r="N61" s="44" t="s">
        <v>63</v>
      </c>
      <c r="O61" s="45" t="s">
        <v>224</v>
      </c>
      <c r="P61" s="45" t="s">
        <v>225</v>
      </c>
    </row>
    <row r="62" spans="1:16" ht="12.75" customHeight="1" thickBot="1" x14ac:dyDescent="0.25">
      <c r="A62" s="10" t="str">
        <f t="shared" si="6"/>
        <v> JAAVSO 39;102 </v>
      </c>
      <c r="B62" s="3" t="str">
        <f t="shared" si="7"/>
        <v>I</v>
      </c>
      <c r="C62" s="10">
        <f t="shared" si="8"/>
        <v>53706.29</v>
      </c>
      <c r="D62" s="18" t="str">
        <f t="shared" si="9"/>
        <v>vis</v>
      </c>
      <c r="E62" s="42">
        <f>VLOOKUP(C62,Active!C$21:E$973,3,FALSE)</f>
        <v>4048.9003814907337</v>
      </c>
      <c r="F62" s="3" t="s">
        <v>63</v>
      </c>
      <c r="G62" s="18" t="str">
        <f t="shared" si="10"/>
        <v>53706.290</v>
      </c>
      <c r="H62" s="10">
        <f t="shared" si="11"/>
        <v>4049</v>
      </c>
      <c r="I62" s="43" t="s">
        <v>246</v>
      </c>
      <c r="J62" s="44" t="s">
        <v>247</v>
      </c>
      <c r="K62" s="43" t="s">
        <v>244</v>
      </c>
      <c r="L62" s="43" t="s">
        <v>235</v>
      </c>
      <c r="M62" s="44" t="s">
        <v>223</v>
      </c>
      <c r="N62" s="44" t="s">
        <v>248</v>
      </c>
      <c r="O62" s="45" t="s">
        <v>224</v>
      </c>
      <c r="P62" s="45" t="s">
        <v>225</v>
      </c>
    </row>
    <row r="63" spans="1:16" ht="12.75" customHeight="1" thickBot="1" x14ac:dyDescent="0.25">
      <c r="A63" s="10" t="str">
        <f t="shared" si="6"/>
        <v> JAAVSO 39;102 </v>
      </c>
      <c r="B63" s="3" t="str">
        <f t="shared" si="7"/>
        <v>I</v>
      </c>
      <c r="C63" s="10">
        <f t="shared" si="8"/>
        <v>53712.482000000004</v>
      </c>
      <c r="D63" s="18" t="str">
        <f t="shared" si="9"/>
        <v>vis</v>
      </c>
      <c r="E63" s="42">
        <f>VLOOKUP(C63,Active!C$21:E$973,3,FALSE)</f>
        <v>4050.9020683127369</v>
      </c>
      <c r="F63" s="3" t="s">
        <v>63</v>
      </c>
      <c r="G63" s="18" t="str">
        <f t="shared" si="10"/>
        <v>53712.482</v>
      </c>
      <c r="H63" s="10">
        <f t="shared" si="11"/>
        <v>4051</v>
      </c>
      <c r="I63" s="43" t="s">
        <v>249</v>
      </c>
      <c r="J63" s="44" t="s">
        <v>250</v>
      </c>
      <c r="K63" s="43" t="s">
        <v>251</v>
      </c>
      <c r="L63" s="43" t="s">
        <v>252</v>
      </c>
      <c r="M63" s="44" t="s">
        <v>223</v>
      </c>
      <c r="N63" s="44" t="s">
        <v>63</v>
      </c>
      <c r="O63" s="45" t="s">
        <v>224</v>
      </c>
      <c r="P63" s="45" t="s">
        <v>225</v>
      </c>
    </row>
    <row r="64" spans="1:16" ht="12.75" customHeight="1" thickBot="1" x14ac:dyDescent="0.25">
      <c r="A64" s="10" t="str">
        <f t="shared" si="6"/>
        <v> JAAVSO 39;102 </v>
      </c>
      <c r="B64" s="3" t="str">
        <f t="shared" si="7"/>
        <v>I</v>
      </c>
      <c r="C64" s="10">
        <f t="shared" si="8"/>
        <v>53944.478999999999</v>
      </c>
      <c r="D64" s="18" t="str">
        <f t="shared" si="9"/>
        <v>vis</v>
      </c>
      <c r="E64" s="42">
        <f>VLOOKUP(C64,Active!C$21:E$973,3,FALSE)</f>
        <v>4125.8997003611894</v>
      </c>
      <c r="F64" s="3" t="s">
        <v>63</v>
      </c>
      <c r="G64" s="18" t="str">
        <f t="shared" si="10"/>
        <v>53944.479</v>
      </c>
      <c r="H64" s="10">
        <f t="shared" si="11"/>
        <v>4126</v>
      </c>
      <c r="I64" s="43" t="s">
        <v>253</v>
      </c>
      <c r="J64" s="44" t="s">
        <v>254</v>
      </c>
      <c r="K64" s="43" t="s">
        <v>255</v>
      </c>
      <c r="L64" s="43" t="s">
        <v>222</v>
      </c>
      <c r="M64" s="44" t="s">
        <v>223</v>
      </c>
      <c r="N64" s="44" t="s">
        <v>63</v>
      </c>
      <c r="O64" s="45" t="s">
        <v>224</v>
      </c>
      <c r="P64" s="45" t="s">
        <v>225</v>
      </c>
    </row>
    <row r="65" spans="1:16" ht="12.75" customHeight="1" thickBot="1" x14ac:dyDescent="0.25">
      <c r="A65" s="10" t="str">
        <f t="shared" si="6"/>
        <v> JAAVSO 39;102 </v>
      </c>
      <c r="B65" s="3" t="str">
        <f t="shared" si="7"/>
        <v>I</v>
      </c>
      <c r="C65" s="10">
        <f t="shared" si="8"/>
        <v>53947.569000000003</v>
      </c>
      <c r="D65" s="18" t="str">
        <f t="shared" si="9"/>
        <v>vis</v>
      </c>
      <c r="E65" s="42">
        <f>VLOOKUP(C65,Active!C$21:E$973,3,FALSE)</f>
        <v>4126.898604153178</v>
      </c>
      <c r="F65" s="3" t="s">
        <v>63</v>
      </c>
      <c r="G65" s="18" t="str">
        <f t="shared" si="10"/>
        <v>53947.569</v>
      </c>
      <c r="H65" s="10">
        <f t="shared" si="11"/>
        <v>4127</v>
      </c>
      <c r="I65" s="43" t="s">
        <v>256</v>
      </c>
      <c r="J65" s="44" t="s">
        <v>257</v>
      </c>
      <c r="K65" s="43" t="s">
        <v>258</v>
      </c>
      <c r="L65" s="43" t="s">
        <v>259</v>
      </c>
      <c r="M65" s="44" t="s">
        <v>223</v>
      </c>
      <c r="N65" s="44" t="s">
        <v>248</v>
      </c>
      <c r="O65" s="45" t="s">
        <v>224</v>
      </c>
      <c r="P65" s="45" t="s">
        <v>225</v>
      </c>
    </row>
    <row r="66" spans="1:16" ht="12.75" customHeight="1" thickBot="1" x14ac:dyDescent="0.25">
      <c r="A66" s="10" t="str">
        <f t="shared" si="6"/>
        <v> JAAVSO 39;102 </v>
      </c>
      <c r="B66" s="3" t="str">
        <f t="shared" si="7"/>
        <v>I</v>
      </c>
      <c r="C66" s="10">
        <f t="shared" si="8"/>
        <v>53975.408300000003</v>
      </c>
      <c r="D66" s="18" t="str">
        <f t="shared" si="9"/>
        <v>vis</v>
      </c>
      <c r="E66" s="42">
        <f>VLOOKUP(C66,Active!C$21:E$973,3,FALSE)</f>
        <v>4135.898210087249</v>
      </c>
      <c r="F66" s="3" t="s">
        <v>63</v>
      </c>
      <c r="G66" s="18" t="str">
        <f t="shared" si="10"/>
        <v>53975.4083</v>
      </c>
      <c r="H66" s="10">
        <f t="shared" si="11"/>
        <v>4136</v>
      </c>
      <c r="I66" s="43" t="s">
        <v>260</v>
      </c>
      <c r="J66" s="44" t="s">
        <v>261</v>
      </c>
      <c r="K66" s="43" t="s">
        <v>262</v>
      </c>
      <c r="L66" s="43" t="s">
        <v>263</v>
      </c>
      <c r="M66" s="44" t="s">
        <v>223</v>
      </c>
      <c r="N66" s="44" t="s">
        <v>63</v>
      </c>
      <c r="O66" s="45" t="s">
        <v>224</v>
      </c>
      <c r="P66" s="45" t="s">
        <v>225</v>
      </c>
    </row>
    <row r="67" spans="1:16" ht="12.75" customHeight="1" thickBot="1" x14ac:dyDescent="0.25">
      <c r="A67" s="10" t="str">
        <f t="shared" si="6"/>
        <v> JAAVSO 39;102 </v>
      </c>
      <c r="B67" s="3" t="str">
        <f t="shared" si="7"/>
        <v>I</v>
      </c>
      <c r="C67" s="10">
        <f t="shared" si="8"/>
        <v>54278.553</v>
      </c>
      <c r="D67" s="18" t="str">
        <f t="shared" si="9"/>
        <v>vis</v>
      </c>
      <c r="E67" s="42">
        <f>VLOOKUP(C67,Active!C$21:E$973,3,FALSE)</f>
        <v>4233.8957474176405</v>
      </c>
      <c r="F67" s="3" t="s">
        <v>63</v>
      </c>
      <c r="G67" s="18" t="str">
        <f t="shared" si="10"/>
        <v>54278.553</v>
      </c>
      <c r="H67" s="10">
        <f t="shared" si="11"/>
        <v>4234</v>
      </c>
      <c r="I67" s="43" t="s">
        <v>264</v>
      </c>
      <c r="J67" s="44" t="s">
        <v>265</v>
      </c>
      <c r="K67" s="43" t="s">
        <v>266</v>
      </c>
      <c r="L67" s="43" t="s">
        <v>267</v>
      </c>
      <c r="M67" s="44" t="s">
        <v>223</v>
      </c>
      <c r="N67" s="44" t="s">
        <v>248</v>
      </c>
      <c r="O67" s="45" t="s">
        <v>224</v>
      </c>
      <c r="P67" s="45" t="s">
        <v>225</v>
      </c>
    </row>
    <row r="68" spans="1:16" ht="12.75" customHeight="1" thickBot="1" x14ac:dyDescent="0.25">
      <c r="A68" s="10" t="str">
        <f t="shared" si="6"/>
        <v> JAAVSO 39;102 </v>
      </c>
      <c r="B68" s="3" t="str">
        <f t="shared" si="7"/>
        <v>I</v>
      </c>
      <c r="C68" s="10">
        <f t="shared" si="8"/>
        <v>54306.394099999998</v>
      </c>
      <c r="D68" s="18" t="str">
        <f t="shared" si="9"/>
        <v>vis</v>
      </c>
      <c r="E68" s="42">
        <f>VLOOKUP(C68,Active!C$21:E$973,3,FALSE)</f>
        <v>4242.8959352374141</v>
      </c>
      <c r="F68" s="3" t="s">
        <v>63</v>
      </c>
      <c r="G68" s="18" t="str">
        <f t="shared" si="10"/>
        <v>54306.3941</v>
      </c>
      <c r="H68" s="10">
        <f t="shared" si="11"/>
        <v>4243</v>
      </c>
      <c r="I68" s="43" t="s">
        <v>268</v>
      </c>
      <c r="J68" s="44" t="s">
        <v>269</v>
      </c>
      <c r="K68" s="43" t="s">
        <v>270</v>
      </c>
      <c r="L68" s="43" t="s">
        <v>271</v>
      </c>
      <c r="M68" s="44" t="s">
        <v>223</v>
      </c>
      <c r="N68" s="44" t="s">
        <v>248</v>
      </c>
      <c r="O68" s="45" t="s">
        <v>224</v>
      </c>
      <c r="P68" s="45" t="s">
        <v>225</v>
      </c>
    </row>
    <row r="69" spans="1:16" ht="12.75" customHeight="1" thickBot="1" x14ac:dyDescent="0.25">
      <c r="A69" s="10" t="str">
        <f t="shared" si="6"/>
        <v> JAAVSO 39;102 </v>
      </c>
      <c r="B69" s="3" t="str">
        <f t="shared" si="7"/>
        <v>I</v>
      </c>
      <c r="C69" s="10">
        <f t="shared" si="8"/>
        <v>54309.485200000003</v>
      </c>
      <c r="D69" s="18" t="str">
        <f t="shared" si="9"/>
        <v>vis</v>
      </c>
      <c r="E69" s="42">
        <f>VLOOKUP(C69,Active!C$21:E$973,3,FALSE)</f>
        <v>4243.8951946262223</v>
      </c>
      <c r="F69" s="3" t="s">
        <v>63</v>
      </c>
      <c r="G69" s="18" t="str">
        <f t="shared" si="10"/>
        <v>54309.4852</v>
      </c>
      <c r="H69" s="10">
        <f t="shared" si="11"/>
        <v>4244</v>
      </c>
      <c r="I69" s="43" t="s">
        <v>272</v>
      </c>
      <c r="J69" s="44" t="s">
        <v>273</v>
      </c>
      <c r="K69" s="43" t="s">
        <v>274</v>
      </c>
      <c r="L69" s="43" t="s">
        <v>275</v>
      </c>
      <c r="M69" s="44" t="s">
        <v>223</v>
      </c>
      <c r="N69" s="44" t="s">
        <v>63</v>
      </c>
      <c r="O69" s="45" t="s">
        <v>224</v>
      </c>
      <c r="P69" s="45" t="s">
        <v>225</v>
      </c>
    </row>
    <row r="70" spans="1:16" ht="12.75" customHeight="1" thickBot="1" x14ac:dyDescent="0.25">
      <c r="A70" s="10" t="str">
        <f t="shared" si="6"/>
        <v> JAAVSO 39;102 </v>
      </c>
      <c r="B70" s="3" t="str">
        <f t="shared" si="7"/>
        <v>I</v>
      </c>
      <c r="C70" s="10">
        <f t="shared" si="8"/>
        <v>54340.419000000002</v>
      </c>
      <c r="D70" s="18" t="str">
        <f t="shared" si="9"/>
        <v>vis</v>
      </c>
      <c r="E70" s="42">
        <f>VLOOKUP(C70,Active!C$21:E$973,3,FALSE)</f>
        <v>4253.8951590665401</v>
      </c>
      <c r="F70" s="3" t="s">
        <v>63</v>
      </c>
      <c r="G70" s="18" t="str">
        <f t="shared" si="10"/>
        <v>54340.419</v>
      </c>
      <c r="H70" s="10">
        <f t="shared" si="11"/>
        <v>4254</v>
      </c>
      <c r="I70" s="43" t="s">
        <v>276</v>
      </c>
      <c r="J70" s="44" t="s">
        <v>277</v>
      </c>
      <c r="K70" s="43" t="s">
        <v>278</v>
      </c>
      <c r="L70" s="43" t="s">
        <v>279</v>
      </c>
      <c r="M70" s="44" t="s">
        <v>223</v>
      </c>
      <c r="N70" s="44" t="s">
        <v>63</v>
      </c>
      <c r="O70" s="45" t="s">
        <v>224</v>
      </c>
      <c r="P70" s="45" t="s">
        <v>225</v>
      </c>
    </row>
    <row r="71" spans="1:16" ht="12.75" customHeight="1" thickBot="1" x14ac:dyDescent="0.25">
      <c r="A71" s="10" t="str">
        <f t="shared" si="6"/>
        <v>BAVM 193 </v>
      </c>
      <c r="B71" s="3" t="str">
        <f t="shared" si="7"/>
        <v>I</v>
      </c>
      <c r="C71" s="10">
        <f t="shared" si="8"/>
        <v>54374.44</v>
      </c>
      <c r="D71" s="18" t="str">
        <f t="shared" si="9"/>
        <v>vis</v>
      </c>
      <c r="E71" s="42">
        <f>VLOOKUP(C71,Active!C$21:E$973,3,FALSE)</f>
        <v>4264.8931221433058</v>
      </c>
      <c r="F71" s="3" t="s">
        <v>63</v>
      </c>
      <c r="G71" s="18" t="str">
        <f t="shared" si="10"/>
        <v>54374.4400</v>
      </c>
      <c r="H71" s="10">
        <f t="shared" si="11"/>
        <v>4265</v>
      </c>
      <c r="I71" s="43" t="s">
        <v>280</v>
      </c>
      <c r="J71" s="44" t="s">
        <v>281</v>
      </c>
      <c r="K71" s="43" t="s">
        <v>282</v>
      </c>
      <c r="L71" s="43" t="s">
        <v>283</v>
      </c>
      <c r="M71" s="44" t="s">
        <v>223</v>
      </c>
      <c r="N71" s="44" t="s">
        <v>204</v>
      </c>
      <c r="O71" s="45" t="s">
        <v>284</v>
      </c>
      <c r="P71" s="46" t="s">
        <v>285</v>
      </c>
    </row>
    <row r="72" spans="1:16" ht="12.75" customHeight="1" thickBot="1" x14ac:dyDescent="0.25">
      <c r="A72" s="10" t="str">
        <f t="shared" si="6"/>
        <v> JAAVSO 39;102 </v>
      </c>
      <c r="B72" s="3" t="str">
        <f t="shared" si="7"/>
        <v>I</v>
      </c>
      <c r="C72" s="10">
        <f t="shared" si="8"/>
        <v>54405.383000000002</v>
      </c>
      <c r="D72" s="18" t="str">
        <f t="shared" si="9"/>
        <v>vis</v>
      </c>
      <c r="E72" s="42">
        <f>VLOOKUP(C72,Active!C$21:E$973,3,FALSE)</f>
        <v>4274.8960606661112</v>
      </c>
      <c r="F72" s="3" t="s">
        <v>63</v>
      </c>
      <c r="G72" s="18" t="str">
        <f t="shared" si="10"/>
        <v>54405.383</v>
      </c>
      <c r="H72" s="10">
        <f t="shared" si="11"/>
        <v>4275</v>
      </c>
      <c r="I72" s="43" t="s">
        <v>286</v>
      </c>
      <c r="J72" s="44" t="s">
        <v>287</v>
      </c>
      <c r="K72" s="43" t="s">
        <v>288</v>
      </c>
      <c r="L72" s="43" t="s">
        <v>267</v>
      </c>
      <c r="M72" s="44" t="s">
        <v>223</v>
      </c>
      <c r="N72" s="44" t="s">
        <v>63</v>
      </c>
      <c r="O72" s="45" t="s">
        <v>224</v>
      </c>
      <c r="P72" s="45" t="s">
        <v>225</v>
      </c>
    </row>
    <row r="73" spans="1:16" ht="12.75" customHeight="1" thickBot="1" x14ac:dyDescent="0.25">
      <c r="A73" s="10" t="str">
        <f t="shared" si="6"/>
        <v>BAVM 212 </v>
      </c>
      <c r="B73" s="3" t="str">
        <f t="shared" si="7"/>
        <v>I</v>
      </c>
      <c r="C73" s="10">
        <f t="shared" si="8"/>
        <v>55067.347300000001</v>
      </c>
      <c r="D73" s="18" t="str">
        <f t="shared" si="9"/>
        <v>vis</v>
      </c>
      <c r="E73" s="42">
        <f>VLOOKUP(C73,Active!C$21:E$973,3,FALSE)</f>
        <v>4488.889151096645</v>
      </c>
      <c r="F73" s="3" t="s">
        <v>63</v>
      </c>
      <c r="G73" s="18" t="str">
        <f t="shared" si="10"/>
        <v>55067.3473</v>
      </c>
      <c r="H73" s="10">
        <f t="shared" si="11"/>
        <v>4489</v>
      </c>
      <c r="I73" s="43" t="s">
        <v>289</v>
      </c>
      <c r="J73" s="44" t="s">
        <v>290</v>
      </c>
      <c r="K73" s="43" t="s">
        <v>291</v>
      </c>
      <c r="L73" s="43" t="s">
        <v>292</v>
      </c>
      <c r="M73" s="44" t="s">
        <v>223</v>
      </c>
      <c r="N73" s="44" t="s">
        <v>204</v>
      </c>
      <c r="O73" s="45" t="s">
        <v>284</v>
      </c>
      <c r="P73" s="46" t="s">
        <v>293</v>
      </c>
    </row>
    <row r="74" spans="1:16" ht="12.75" customHeight="1" thickBot="1" x14ac:dyDescent="0.25">
      <c r="A74" s="10" t="str">
        <f t="shared" si="6"/>
        <v>VSB 51 </v>
      </c>
      <c r="B74" s="3" t="str">
        <f t="shared" si="7"/>
        <v>I</v>
      </c>
      <c r="C74" s="10">
        <f t="shared" si="8"/>
        <v>55426.177000000003</v>
      </c>
      <c r="D74" s="18" t="str">
        <f t="shared" si="9"/>
        <v>vis</v>
      </c>
      <c r="E74" s="42">
        <f>VLOOKUP(C74,Active!C$21:E$973,3,FALSE)</f>
        <v>4604.8879692221271</v>
      </c>
      <c r="F74" s="3" t="s">
        <v>63</v>
      </c>
      <c r="G74" s="18" t="str">
        <f t="shared" si="10"/>
        <v>55426.177</v>
      </c>
      <c r="H74" s="10">
        <f t="shared" si="11"/>
        <v>4605</v>
      </c>
      <c r="I74" s="43" t="s">
        <v>294</v>
      </c>
      <c r="J74" s="44" t="s">
        <v>295</v>
      </c>
      <c r="K74" s="43" t="s">
        <v>296</v>
      </c>
      <c r="L74" s="43" t="s">
        <v>297</v>
      </c>
      <c r="M74" s="44" t="s">
        <v>223</v>
      </c>
      <c r="N74" s="44" t="s">
        <v>63</v>
      </c>
      <c r="O74" s="45" t="s">
        <v>298</v>
      </c>
      <c r="P74" s="46" t="s">
        <v>299</v>
      </c>
    </row>
    <row r="75" spans="1:16" x14ac:dyDescent="0.2">
      <c r="B75" s="3"/>
      <c r="F75" s="3"/>
    </row>
    <row r="76" spans="1:16" x14ac:dyDescent="0.2">
      <c r="B76" s="3"/>
      <c r="F76" s="3"/>
    </row>
    <row r="77" spans="1:16" x14ac:dyDescent="0.2">
      <c r="B77" s="3"/>
      <c r="F77" s="3"/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</sheetData>
  <phoneticPr fontId="8" type="noConversion"/>
  <hyperlinks>
    <hyperlink ref="A3" r:id="rId1" xr:uid="{00000000-0004-0000-0100-000000000000}"/>
    <hyperlink ref="P56" r:id="rId2" display="http://www.bav-astro.de/sfs/BAVM_link.php?BAVMnr=157" xr:uid="{00000000-0004-0000-0100-000001000000}"/>
    <hyperlink ref="P57" r:id="rId3" display="http://www.bav-astro.de/sfs/BAVM_link.php?BAVMnr=157" xr:uid="{00000000-0004-0000-0100-000002000000}"/>
    <hyperlink ref="P11" r:id="rId4" display="http://www.bav-astro.de/sfs/BAVM_link.php?BAVMnr=172" xr:uid="{00000000-0004-0000-0100-000003000000}"/>
    <hyperlink ref="P12" r:id="rId5" display="http://www.bav-astro.de/sfs/BAVM_link.php?BAVMnr=174" xr:uid="{00000000-0004-0000-0100-000004000000}"/>
    <hyperlink ref="P13" r:id="rId6" display="http://www.konkoly.hu/cgi-bin/IBVS?5653" xr:uid="{00000000-0004-0000-0100-000005000000}"/>
    <hyperlink ref="P14" r:id="rId7" display="http://www.bav-astro.de/sfs/BAVM_link.php?BAVMnr=178" xr:uid="{00000000-0004-0000-0100-000006000000}"/>
    <hyperlink ref="P15" r:id="rId8" display="http://var.astro.cz/oejv/issues/oejv0028.pdf" xr:uid="{00000000-0004-0000-0100-000007000000}"/>
    <hyperlink ref="P71" r:id="rId9" display="http://www.bav-astro.de/sfs/BAVM_link.php?BAVMnr=193" xr:uid="{00000000-0004-0000-0100-000008000000}"/>
    <hyperlink ref="P73" r:id="rId10" display="http://www.bav-astro.de/sfs/BAVM_link.php?BAVMnr=212" xr:uid="{00000000-0004-0000-0100-000009000000}"/>
    <hyperlink ref="P74" r:id="rId11" display="http://vsolj.cetus-net.org/vsoljno51.pdf" xr:uid="{00000000-0004-0000-0100-00000A000000}"/>
    <hyperlink ref="P16" r:id="rId12" display="http://www.bav-astro.de/sfs/BAVM_link.php?BAVMnr=220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2024-01-19T04:39:54Z</dcterms:modified>
</cp:coreProperties>
</file>