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170A4AF-0D95-43C1-B0E5-0FB3519E7C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7" i="1"/>
  <c r="Q28" i="1"/>
  <c r="Q35" i="1"/>
  <c r="Q37" i="1"/>
  <c r="G26" i="2"/>
  <c r="C26" i="2"/>
  <c r="G22" i="2"/>
  <c r="C22" i="2"/>
  <c r="G25" i="2"/>
  <c r="C25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24" i="2"/>
  <c r="C24" i="2"/>
  <c r="G23" i="2"/>
  <c r="C23" i="2"/>
  <c r="G15" i="2"/>
  <c r="C15" i="2"/>
  <c r="G14" i="2"/>
  <c r="C14" i="2"/>
  <c r="G13" i="2"/>
  <c r="C13" i="2"/>
  <c r="G12" i="2"/>
  <c r="C12" i="2"/>
  <c r="G11" i="2"/>
  <c r="C11" i="2"/>
  <c r="H26" i="2"/>
  <c r="B26" i="2"/>
  <c r="D26" i="2"/>
  <c r="A26" i="2"/>
  <c r="H22" i="2"/>
  <c r="B22" i="2"/>
  <c r="D22" i="2"/>
  <c r="A22" i="2"/>
  <c r="H25" i="2"/>
  <c r="B25" i="2"/>
  <c r="D25" i="2"/>
  <c r="A25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24" i="2"/>
  <c r="B24" i="2"/>
  <c r="D24" i="2"/>
  <c r="A24" i="2"/>
  <c r="H23" i="2"/>
  <c r="B23" i="2"/>
  <c r="D23" i="2"/>
  <c r="A23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1" i="1"/>
  <c r="Q33" i="1"/>
  <c r="Q36" i="1"/>
  <c r="F16" i="1"/>
  <c r="F17" i="1" s="1"/>
  <c r="C17" i="1"/>
  <c r="Q29" i="1"/>
  <c r="Q32" i="1"/>
  <c r="C7" i="1"/>
  <c r="E30" i="1"/>
  <c r="F30" i="1"/>
  <c r="C8" i="1"/>
  <c r="Q21" i="1"/>
  <c r="Q22" i="1"/>
  <c r="Q23" i="1"/>
  <c r="Q24" i="1"/>
  <c r="Q25" i="1"/>
  <c r="Q26" i="1"/>
  <c r="Q30" i="1"/>
  <c r="Q34" i="1"/>
  <c r="E15" i="2"/>
  <c r="E23" i="2"/>
  <c r="E21" i="2"/>
  <c r="E11" i="2"/>
  <c r="E22" i="2"/>
  <c r="E26" i="2"/>
  <c r="E14" i="2"/>
  <c r="E19" i="2"/>
  <c r="E26" i="1"/>
  <c r="F26" i="1"/>
  <c r="G36" i="1"/>
  <c r="K36" i="1"/>
  <c r="G25" i="1"/>
  <c r="I25" i="1"/>
  <c r="E23" i="1"/>
  <c r="F23" i="1"/>
  <c r="G23" i="1"/>
  <c r="I23" i="1"/>
  <c r="E21" i="1"/>
  <c r="F21" i="1"/>
  <c r="E37" i="1"/>
  <c r="F37" i="1"/>
  <c r="G37" i="1"/>
  <c r="I37" i="1"/>
  <c r="E28" i="1"/>
  <c r="F28" i="1"/>
  <c r="G28" i="1"/>
  <c r="J28" i="1"/>
  <c r="E36" i="1"/>
  <c r="F36" i="1"/>
  <c r="E33" i="1"/>
  <c r="F33" i="1"/>
  <c r="G33" i="1"/>
  <c r="I33" i="1"/>
  <c r="E31" i="1"/>
  <c r="F31" i="1"/>
  <c r="G31" i="1"/>
  <c r="I31" i="1"/>
  <c r="G29" i="1"/>
  <c r="K29" i="1"/>
  <c r="E25" i="1"/>
  <c r="F25" i="1"/>
  <c r="E22" i="1"/>
  <c r="F22" i="1"/>
  <c r="G22" i="1"/>
  <c r="I22" i="1"/>
  <c r="G30" i="1"/>
  <c r="K30" i="1"/>
  <c r="E29" i="1"/>
  <c r="F29" i="1"/>
  <c r="G26" i="1"/>
  <c r="J26" i="1"/>
  <c r="E24" i="1"/>
  <c r="F24" i="1"/>
  <c r="G24" i="1"/>
  <c r="I24" i="1"/>
  <c r="E35" i="1"/>
  <c r="F35" i="1"/>
  <c r="G35" i="1"/>
  <c r="I35" i="1"/>
  <c r="E27" i="1"/>
  <c r="F27" i="1"/>
  <c r="G27" i="1"/>
  <c r="J27" i="1"/>
  <c r="E34" i="1"/>
  <c r="F34" i="1"/>
  <c r="G34" i="1"/>
  <c r="J34" i="1"/>
  <c r="E32" i="1"/>
  <c r="F32" i="1"/>
  <c r="G32" i="1"/>
  <c r="K32" i="1"/>
  <c r="E12" i="2"/>
  <c r="E20" i="2"/>
  <c r="E16" i="2"/>
  <c r="E25" i="2"/>
  <c r="E13" i="2"/>
  <c r="E24" i="2"/>
  <c r="E18" i="2"/>
  <c r="C12" i="1"/>
  <c r="C11" i="1"/>
  <c r="O31" i="1" l="1"/>
  <c r="O26" i="1"/>
  <c r="O28" i="1"/>
  <c r="O33" i="1"/>
  <c r="O30" i="1"/>
  <c r="O25" i="1"/>
  <c r="O37" i="1"/>
  <c r="O24" i="1"/>
  <c r="O32" i="1"/>
  <c r="O29" i="1"/>
  <c r="O23" i="1"/>
  <c r="O35" i="1"/>
  <c r="O34" i="1"/>
  <c r="C15" i="1"/>
  <c r="O27" i="1"/>
  <c r="O36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<sst xmlns="http://schemas.openxmlformats.org/spreadsheetml/2006/main" count="219" uniqueCount="141">
  <si>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</si>
  <si>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</si>
  <si>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</si>
  <si>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</si>
  <si>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</si>
  <si>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</si>
  <si>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</si>
  <si>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</si>
  <si>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</si>
  <si>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</si>
  <si>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</si>
  <si>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</si>
  <si>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</si>
  <si>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</si>
  <si>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</si>
  <si>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</si>
  <si>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</si>
  <si>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</si>
  <si>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</si>
  <si>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</si>
  <si>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</si>
  <si>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</si>
  <si>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</si>
  <si>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</si>
  <si>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</si>
  <si>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</si>
  <si>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Bull.92</t>
  </si>
  <si>
    <t>B</t>
  </si>
  <si>
    <t>BBSAG Bull.96</t>
  </si>
  <si>
    <t>BBSAG Bull.99</t>
  </si>
  <si>
    <t>BBSAG Bull.113</t>
  </si>
  <si>
    <t>Diethelm R</t>
  </si>
  <si>
    <t>BBSAG Bull.116</t>
  </si>
  <si>
    <t>IBVS 5543</t>
  </si>
  <si>
    <t>I</t>
  </si>
  <si>
    <t># of data points:</t>
  </si>
  <si>
    <t>EA</t>
  </si>
  <si>
    <t>IBVS 5731</t>
  </si>
  <si>
    <t>IBVS 5438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</si>
  <si>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</si>
  <si>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</si>
  <si>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</si>
  <si>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</si>
  <si>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</si>
  <si>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</si>
  <si>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</si>
  <si>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</si>
  <si>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</si>
  <si>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5960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</si>
  <si>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</si>
  <si>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</si>
  <si>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</si>
  <si>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</si>
  <si>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</si>
  <si>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</si>
  <si>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</si>
  <si>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</si>
  <si>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</si>
  <si>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</si>
  <si>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</si>
  <si>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</si>
  <si>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2447769.597 </t>
  </si>
  <si>
    <t> 31.08.1989 02:19 </t>
  </si>
  <si>
    <t> 0.023 </t>
  </si>
  <si>
    <t>V </t>
  </si>
  <si>
    <t> K.Locher </t>
  </si>
  <si>
    <t> BBS 92 </t>
  </si>
  <si>
    <t>2448189.294 </t>
  </si>
  <si>
    <t> 24.10.1990 19:03 </t>
  </si>
  <si>
    <t> 0.038 </t>
  </si>
  <si>
    <t> BBS 96 </t>
  </si>
  <si>
    <t>2448621.306 </t>
  </si>
  <si>
    <t> 30.12.1991 19:20 </t>
  </si>
  <si>
    <t> 0.025 </t>
  </si>
  <si>
    <t> BBS 99 </t>
  </si>
  <si>
    <t>2450312.364 </t>
  </si>
  <si>
    <t> 16.08.1996 20:44 </t>
  </si>
  <si>
    <t> 0.012 </t>
  </si>
  <si>
    <t> BBS 113 </t>
  </si>
  <si>
    <t>2450707.3481 </t>
  </si>
  <si>
    <t> 15.09.1997 20:21 </t>
  </si>
  <si>
    <t> 0.0011 </t>
  </si>
  <si>
    <t>E </t>
  </si>
  <si>
    <t>?</t>
  </si>
  <si>
    <t> R.Diethelm </t>
  </si>
  <si>
    <t> BBS 116 </t>
  </si>
  <si>
    <t>2451432.5535 </t>
  </si>
  <si>
    <t> 11.09.1999 01:17 </t>
  </si>
  <si>
    <t> 0.0209 </t>
  </si>
  <si>
    <t> BBS 121 </t>
  </si>
  <si>
    <t>2451464.412 </t>
  </si>
  <si>
    <t> 12.10.1999 21:53 </t>
  </si>
  <si>
    <t> -0.008 </t>
  </si>
  <si>
    <t>2452548.5773 </t>
  </si>
  <si>
    <t> 01.10.2002 01:51 </t>
  </si>
  <si>
    <t> -0.0210 </t>
  </si>
  <si>
    <t> BBS 129 </t>
  </si>
  <si>
    <t>2452908.593 </t>
  </si>
  <si>
    <t> 26.09.2003 02:13 </t>
  </si>
  <si>
    <t> -0.026 </t>
  </si>
  <si>
    <t> BBS 130 </t>
  </si>
  <si>
    <t>2453229.526 </t>
  </si>
  <si>
    <t> 12.08.2004 00:37 </t>
  </si>
  <si>
    <t> -0.027 </t>
  </si>
  <si>
    <t>OEJV 0003 </t>
  </si>
  <si>
    <t>2453266.5608 </t>
  </si>
  <si>
    <t> 18.09.2004 01:27 </t>
  </si>
  <si>
    <t> -0.0226 </t>
  </si>
  <si>
    <t> R. Diethelm </t>
  </si>
  <si>
    <t>IBVS 5653 </t>
  </si>
  <si>
    <t>2453587.477 </t>
  </si>
  <si>
    <t> 04.08.2005 23:26 </t>
  </si>
  <si>
    <t> -0.040 </t>
  </si>
  <si>
    <t>2453657.4335 </t>
  </si>
  <si>
    <t> 13.10.2005 22:24 </t>
  </si>
  <si>
    <t> -0.0301 </t>
  </si>
  <si>
    <t>C </t>
  </si>
  <si>
    <t>-I</t>
  </si>
  <si>
    <t> Agerer </t>
  </si>
  <si>
    <t>BAVM 178 </t>
  </si>
  <si>
    <t>2455097.5041 </t>
  </si>
  <si>
    <t> 23.09.2009 00:05 </t>
  </si>
  <si>
    <t>12259</t>
  </si>
  <si>
    <t> -0.0443 </t>
  </si>
  <si>
    <t> F.Agerer </t>
  </si>
  <si>
    <t>BAVM 212 </t>
  </si>
  <si>
    <t>2455498.6630 </t>
  </si>
  <si>
    <t> 29.10.2010 03:54 </t>
  </si>
  <si>
    <t>12454</t>
  </si>
  <si>
    <t> -0.0519 </t>
  </si>
  <si>
    <t>IBVS 5960 </t>
  </si>
  <si>
    <t>2455815.4763 </t>
  </si>
  <si>
    <t> 10.09.2011 23:25 </t>
  </si>
  <si>
    <t>12608</t>
  </si>
  <si>
    <t> -0.0572 </t>
  </si>
  <si>
    <t>BAVM 225 </t>
  </si>
  <si>
    <t>II</t>
  </si>
  <si>
    <t>s5</t>
  </si>
  <si>
    <t>s6</t>
  </si>
  <si>
    <t>s7</t>
  </si>
  <si>
    <t>V0350 Cas / GSC 03998-02392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</si>
</sst>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9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>
      <alignment vertical="top"/>
    </xf>
    <xf numFmtId="0" fontId="4" fillId="0" borderId="5" xfId="0" applyFont="1" applyBorder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8" fillId="0" borderId="0" xfId="0" applyFont="1" applyAlignment="1"/>
    <xf numFmtId="14" fontId="13" fillId="0" borderId="0" xfId="0" applyNumberFormat="1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V0350 Cas - O-C Diagr.</a:t>
            </a:r>
          </a:p>
        </c:rich>
      </c:tx>
      <c:layout>
        <c:manualLayout>
          <c:xMode val="edge"/>
          <c:yMode val="edge"/>
          <c:x val="0.345083487940630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69252958613219"/>
          <c:w val="0.786641929499072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7-4284-A5A7-E389DC4EC1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2.2992000005615409E-2</c:v>
                </c:pt>
                <c:pt idx="2">
                  <c:v>3.8136000002850778E-2</c:v>
                </c:pt>
                <c:pt idx="3">
                  <c:v>2.4695999993127771E-2</c:v>
                </c:pt>
                <c:pt idx="4">
                  <c:v>1.1687999998684973E-2</c:v>
                </c:pt>
                <c:pt idx="10">
                  <c:v>-2.6664000004529953E-2</c:v>
                </c:pt>
                <c:pt idx="12">
                  <c:v>-3.9600000003702007E-2</c:v>
                </c:pt>
                <c:pt idx="14">
                  <c:v>-4.4276000000536442E-2</c:v>
                </c:pt>
                <c:pt idx="16">
                  <c:v>-5.7211999992432538E-2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7-4284-A5A7-E389DC4EC1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1.1000000085914508E-3</c:v>
                </c:pt>
                <c:pt idx="6">
                  <c:v>2.0940000002156012E-2</c:v>
                </c:pt>
                <c:pt idx="7">
                  <c:v>-8.1520000021555461E-3</c:v>
                </c:pt>
                <c:pt idx="13">
                  <c:v>-3.0075999995460734E-2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C7-4284-A5A7-E389DC4EC1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-2.0980000001145527E-2</c:v>
                </c:pt>
                <c:pt idx="9">
                  <c:v>-2.6479999993171077E-2</c:v>
                </c:pt>
                <c:pt idx="11">
                  <c:v>-2.2615999994741287E-2</c:v>
                </c:pt>
                <c:pt idx="15">
                  <c:v>-5.1855999998224434E-2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C7-4284-A5A7-E389DC4EC1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C7-4284-A5A7-E389DC4EC1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C7-4284-A5A7-E389DC4EC1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C7-4284-A5A7-E389DC4EC1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3.649963842063364E-2</c:v>
                </c:pt>
                <c:pt idx="2">
                  <c:v>3.1735073129042862E-2</c:v>
                </c:pt>
                <c:pt idx="3">
                  <c:v>2.6830373564169979E-2</c:v>
                </c:pt>
                <c:pt idx="4">
                  <c:v>7.6319781245247631E-3</c:v>
                </c:pt>
                <c:pt idx="5">
                  <c:v>3.1476813794981406E-3</c:v>
                </c:pt>
                <c:pt idx="6">
                  <c:v>-5.085207175824169E-3</c:v>
                </c:pt>
                <c:pt idx="7">
                  <c:v>-5.4472207151362029E-3</c:v>
                </c:pt>
                <c:pt idx="8">
                  <c:v>-1.7755681051745742E-2</c:v>
                </c:pt>
                <c:pt idx="9">
                  <c:v>-2.1842930689139783E-2</c:v>
                </c:pt>
                <c:pt idx="10">
                  <c:v>-2.5486421794473912E-2</c:v>
                </c:pt>
                <c:pt idx="11">
                  <c:v>-2.5906824614320145E-2</c:v>
                </c:pt>
                <c:pt idx="12">
                  <c:v>-2.9550315719654274E-2</c:v>
                </c:pt>
                <c:pt idx="13">
                  <c:v>-3.0344409934919436E-2</c:v>
                </c:pt>
                <c:pt idx="14">
                  <c:v>-4.6693408484495658E-2</c:v>
                </c:pt>
                <c:pt idx="15">
                  <c:v>-5.1247772366163291E-2</c:v>
                </c:pt>
                <c:pt idx="16">
                  <c:v>-5.4844552047070061E-2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C7-4284-A5A7-E389DC4E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663296"/>
        <c:axId val="1"/>
      </c:scatterChart>
      <c:valAx>
        <c:axId val="6916632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63821892393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6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10760667903525"/>
          <c:y val="0.92000129214617399"/>
          <c:w val="0.7532467532467532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V0350 Cas</a:t>
            </a:r>
            <a:r>
              <a:rPr lang="en-US" baseline="0"/>
              <a:t> - O-C Diagr</a:t>
            </a:r>
            <a:endParaRPr lang="en-US"/>
          </a:p>
        </c:rich>
      </c:tx>
      <c:layout>
        <c:manualLayout>
          <c:xMode val="edge"/>
          <c:yMode val="edge"/>
          <c:x val="0.3444450277048701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0769207120239"/>
          <c:y val="0.14723926380368099"/>
          <c:w val="0.787038460356011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3-451A-A59B-5E9683240A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2.2992000005615409E-2</c:v>
                </c:pt>
                <c:pt idx="2">
                  <c:v>3.8136000002850778E-2</c:v>
                </c:pt>
                <c:pt idx="3">
                  <c:v>2.4695999993127771E-2</c:v>
                </c:pt>
                <c:pt idx="4">
                  <c:v>1.1687999998684973E-2</c:v>
                </c:pt>
                <c:pt idx="10">
                  <c:v>-2.6664000004529953E-2</c:v>
                </c:pt>
                <c:pt idx="12">
                  <c:v>-3.9600000003702007E-2</c:v>
                </c:pt>
                <c:pt idx="14">
                  <c:v>-4.4276000000536442E-2</c:v>
                </c:pt>
                <c:pt idx="16">
                  <c:v>-5.7211999992432538E-2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3-451A-A59B-5E9683240A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1.1000000085914508E-3</c:v>
                </c:pt>
                <c:pt idx="6">
                  <c:v>2.0940000002156012E-2</c:v>
                </c:pt>
                <c:pt idx="7">
                  <c:v>-8.1520000021555461E-3</c:v>
                </c:pt>
                <c:pt idx="13">
                  <c:v>-3.0075999995460734E-2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3-451A-A59B-5E9683240A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-2.0980000001145527E-2</c:v>
                </c:pt>
                <c:pt idx="9">
                  <c:v>-2.6479999993171077E-2</c:v>
                </c:pt>
                <c:pt idx="11">
                  <c:v>-2.2615999994741287E-2</c:v>
                </c:pt>
                <c:pt idx="15">
                  <c:v>-5.1855999998224434E-2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3-451A-A59B-5E9683240A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3-451A-A59B-5E9683240A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3-451A-A59B-5E9683240A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  <c:pt idx="4">
                    <c:v>5.0000000000000001E-3</c:v>
                  </c:pt>
                  <c:pt idx="5">
                    <c:v>1.2999999999999999E-3</c:v>
                  </c:pt>
                  <c:pt idx="6">
                    <c:v>0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4.0000000000000001E-3</c:v>
                  </c:pt>
                  <c:pt idx="10">
                    <c:v>4.0000000000000001E-3</c:v>
                  </c:pt>
                  <c:pt idx="11">
                    <c:v>2E-3</c:v>
                  </c:pt>
                  <c:pt idx="12">
                    <c:v>6.0000000000000001E-3</c:v>
                  </c:pt>
                  <c:pt idx="13">
                    <c:v>1.6999999999999999E-3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3-451A-A59B-5E9683240A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8697</c:v>
                </c:pt>
                <c:pt idx="2">
                  <c:v>8901</c:v>
                </c:pt>
                <c:pt idx="3">
                  <c:v>9111</c:v>
                </c:pt>
                <c:pt idx="4">
                  <c:v>9933</c:v>
                </c:pt>
                <c:pt idx="5">
                  <c:v>10125</c:v>
                </c:pt>
                <c:pt idx="6">
                  <c:v>10477.5</c:v>
                </c:pt>
                <c:pt idx="7">
                  <c:v>10493</c:v>
                </c:pt>
                <c:pt idx="8">
                  <c:v>11020</c:v>
                </c:pt>
                <c:pt idx="9">
                  <c:v>11195</c:v>
                </c:pt>
                <c:pt idx="10">
                  <c:v>11351</c:v>
                </c:pt>
                <c:pt idx="11">
                  <c:v>11369</c:v>
                </c:pt>
                <c:pt idx="12">
                  <c:v>11525</c:v>
                </c:pt>
                <c:pt idx="13">
                  <c:v>11559</c:v>
                </c:pt>
                <c:pt idx="14">
                  <c:v>12259</c:v>
                </c:pt>
                <c:pt idx="15">
                  <c:v>12454</c:v>
                </c:pt>
                <c:pt idx="16">
                  <c:v>12608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3.649963842063364E-2</c:v>
                </c:pt>
                <c:pt idx="2">
                  <c:v>3.1735073129042862E-2</c:v>
                </c:pt>
                <c:pt idx="3">
                  <c:v>2.6830373564169979E-2</c:v>
                </c:pt>
                <c:pt idx="4">
                  <c:v>7.6319781245247631E-3</c:v>
                </c:pt>
                <c:pt idx="5">
                  <c:v>3.1476813794981406E-3</c:v>
                </c:pt>
                <c:pt idx="6">
                  <c:v>-5.085207175824169E-3</c:v>
                </c:pt>
                <c:pt idx="7">
                  <c:v>-5.4472207151362029E-3</c:v>
                </c:pt>
                <c:pt idx="8">
                  <c:v>-1.7755681051745742E-2</c:v>
                </c:pt>
                <c:pt idx="9">
                  <c:v>-2.1842930689139783E-2</c:v>
                </c:pt>
                <c:pt idx="10">
                  <c:v>-2.5486421794473912E-2</c:v>
                </c:pt>
                <c:pt idx="11">
                  <c:v>-2.5906824614320145E-2</c:v>
                </c:pt>
                <c:pt idx="12">
                  <c:v>-2.9550315719654274E-2</c:v>
                </c:pt>
                <c:pt idx="13">
                  <c:v>-3.0344409934919436E-2</c:v>
                </c:pt>
                <c:pt idx="14">
                  <c:v>-4.6693408484495658E-2</c:v>
                </c:pt>
                <c:pt idx="15">
                  <c:v>-5.1247772366163291E-2</c:v>
                </c:pt>
                <c:pt idx="16">
                  <c:v>-5.4844552047070061E-2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3-451A-A59B-5E9683240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18824"/>
        <c:axId val="1"/>
      </c:scatterChart>
      <c:valAx>
        <c:axId val="41651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50461747837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51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63001846991347"/>
          <c:y val="0.92024539877300615"/>
          <c:w val="0.751853212792845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523875</xdr:colOff>
      <xdr:row>17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C86756F-277D-5F09-99CB-E4C0E15B9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238125</xdr:colOff>
      <xdr:row>17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C299BF4-8B9C-18D6-323D-E1626C137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var.astro.cz/oejv/issues/oejv0003.pdf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8" t="s">
        <v>140</v>
      </c>
    </row>
    <row r="2" spans="1:6" x14ac:dyDescent="0.2">
      <c r="A2" t="s">
        <v>24</v>
      </c>
      <c r="B2" s="9" t="s">
        <v>36</v>
      </c>
    </row>
    <row r="4" spans="1:6" ht="14.25" thickTop="1" thickBot="1" x14ac:dyDescent="0.25">
      <c r="A4" s="5" t="s">
        <v>0</v>
      </c>
      <c r="C4" s="1">
        <v>29877.548999999999</v>
      </c>
      <c r="D4" s="2">
        <v>2.057264</v>
      </c>
    </row>
    <row r="5" spans="1:6" ht="13.5" thickTop="1" x14ac:dyDescent="0.2">
      <c r="A5" s="13" t="s">
        <v>40</v>
      </c>
      <c r="B5" s="8"/>
      <c r="C5" s="14">
        <v>-9.5</v>
      </c>
      <c r="D5" s="8" t="s">
        <v>41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29877.548999999999</v>
      </c>
    </row>
    <row r="8" spans="1:6" x14ac:dyDescent="0.2">
      <c r="A8" t="s">
        <v>3</v>
      </c>
      <c r="C8">
        <f>+D4</f>
        <v>2.057264</v>
      </c>
    </row>
    <row r="9" spans="1:6" x14ac:dyDescent="0.2">
      <c r="A9" s="27" t="s">
        <v>45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8"/>
      <c r="B10" s="8"/>
      <c r="C10" s="4" t="s">
        <v>20</v>
      </c>
      <c r="D10" s="4" t="s">
        <v>21</v>
      </c>
      <c r="E10" s="8"/>
    </row>
    <row r="11" spans="1:6" x14ac:dyDescent="0.2">
      <c r="A11" s="8" t="s">
        <v>16</v>
      </c>
      <c r="B11" s="8"/>
      <c r="C11" s="15">
        <f ca="1">INTERCEPT(INDIRECT($D$9):G992,INDIRECT($C$9):F992)</f>
        <v>0.23962426754301136</v>
      </c>
      <c r="D11" s="3"/>
      <c r="E11" s="8"/>
    </row>
    <row r="12" spans="1:6" x14ac:dyDescent="0.2">
      <c r="A12" s="8" t="s">
        <v>17</v>
      </c>
      <c r="B12" s="8"/>
      <c r="C12" s="15">
        <f ca="1">SLOPE(INDIRECT($D$9):G992,INDIRECT($C$9):F992)</f>
        <v>-2.3355712213680317E-5</v>
      </c>
      <c r="D12" s="3"/>
      <c r="E12" s="8"/>
    </row>
    <row r="13" spans="1:6" x14ac:dyDescent="0.2">
      <c r="A13" s="8" t="s">
        <v>19</v>
      </c>
      <c r="B13" s="8"/>
      <c r="C13" s="3" t="s">
        <v>14</v>
      </c>
    </row>
    <row r="14" spans="1:6" x14ac:dyDescent="0.2">
      <c r="A14" s="8"/>
      <c r="B14" s="8"/>
      <c r="C14" s="8"/>
    </row>
    <row r="15" spans="1:6" x14ac:dyDescent="0.2">
      <c r="A15" s="18" t="s">
        <v>18</v>
      </c>
      <c r="B15" s="8"/>
      <c r="C15" s="19">
        <f ca="1">(C7+C11)+(C8+C12)*INT(MAX(F21:F3533))</f>
        <v>55815.478667447955</v>
      </c>
      <c r="E15" s="20" t="s">
        <v>46</v>
      </c>
      <c r="F15" s="14">
        <v>1</v>
      </c>
    </row>
    <row r="16" spans="1:6" x14ac:dyDescent="0.2">
      <c r="A16" s="22" t="s">
        <v>4</v>
      </c>
      <c r="B16" s="8"/>
      <c r="C16" s="23">
        <f ca="1">+C8+C12</f>
        <v>2.0572406442877864</v>
      </c>
      <c r="E16" s="20" t="s">
        <v>42</v>
      </c>
      <c r="F16" s="21">
        <f ca="1">NOW()+15018.5+$C$5/24</f>
        <v>60328.787739583327</v>
      </c>
    </row>
    <row r="17" spans="1:32" ht="13.5" thickBot="1" x14ac:dyDescent="0.25">
      <c r="A17" s="20" t="s">
        <v>35</v>
      </c>
      <c r="B17" s="8"/>
      <c r="C17" s="8">
        <f>COUNT(C21:C2191)</f>
        <v>17</v>
      </c>
      <c r="E17" s="20" t="s">
        <v>47</v>
      </c>
      <c r="F17" s="21">
        <f ca="1">ROUND(2*(F16-$C$7)/$C$8,0)/2+F15</f>
        <v>14803</v>
      </c>
    </row>
    <row r="18" spans="1:32" ht="14.25" thickTop="1" thickBot="1" x14ac:dyDescent="0.25">
      <c r="A18" s="22" t="s">
        <v>5</v>
      </c>
      <c r="B18" s="8"/>
      <c r="C18" s="25">
        <f ca="1">+C15</f>
        <v>55815.478667447955</v>
      </c>
      <c r="D18" s="26">
        <f ca="1">+C16</f>
        <v>2.0572406442877864</v>
      </c>
      <c r="E18" s="20" t="s">
        <v>43</v>
      </c>
      <c r="F18" s="17">
        <f ca="1">ROUND(2*(F16-$C$15)/$C$16,0)/2+F15</f>
        <v>2195</v>
      </c>
    </row>
    <row r="19" spans="1:32" ht="13.5" thickTop="1" x14ac:dyDescent="0.2">
      <c r="E19" s="20" t="s">
        <v>44</v>
      </c>
      <c r="F19" s="24">
        <f ca="1">+$C$15+$C$16*F18-15018.5-$C$5/24</f>
        <v>45313.01771499298</v>
      </c>
    </row>
    <row r="20" spans="1:32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137</v>
      </c>
      <c r="M20" s="7" t="s">
        <v>138</v>
      </c>
      <c r="N20" s="7" t="s">
        <v>139</v>
      </c>
      <c r="O20" s="7" t="s">
        <v>23</v>
      </c>
      <c r="P20" s="6" t="s">
        <v>22</v>
      </c>
      <c r="Q20" s="4" t="s">
        <v>15</v>
      </c>
    </row>
    <row r="21" spans="1:32" x14ac:dyDescent="0.2">
      <c r="A21" s="29" t="s">
        <v>12</v>
      </c>
      <c r="B21" s="29"/>
      <c r="C21" s="35">
        <v>29877.548999999999</v>
      </c>
      <c r="D21" s="35" t="s">
        <v>14</v>
      </c>
      <c r="E21" s="29">
        <f t="shared" ref="E21:E37" si="0">+(C21-C$7)/C$8</f>
        <v>0</v>
      </c>
      <c r="F21" s="29">
        <f t="shared" ref="F21:F37" si="1">ROUND(2*E21,0)/2</f>
        <v>0</v>
      </c>
      <c r="G21" s="29"/>
      <c r="H21" s="30">
        <v>0</v>
      </c>
      <c r="I21" s="29"/>
      <c r="J21" s="29"/>
      <c r="K21" s="29"/>
      <c r="L21" s="29"/>
      <c r="M21" s="29"/>
      <c r="N21" s="29"/>
      <c r="O21" s="29"/>
      <c r="P21" s="29"/>
      <c r="Q21" s="31">
        <f t="shared" ref="Q21:Q37" si="2">+C21-15018.5</f>
        <v>14859.048999999999</v>
      </c>
      <c r="R21" s="29"/>
    </row>
    <row r="22" spans="1:32" x14ac:dyDescent="0.2">
      <c r="A22" s="29" t="s">
        <v>26</v>
      </c>
      <c r="B22" s="29"/>
      <c r="C22" s="35">
        <v>47769.597000000002</v>
      </c>
      <c r="D22" s="35"/>
      <c r="E22" s="29">
        <f t="shared" si="0"/>
        <v>8697.0111760085256</v>
      </c>
      <c r="F22" s="29">
        <f t="shared" si="1"/>
        <v>8697</v>
      </c>
      <c r="G22" s="29">
        <f t="shared" ref="G22:G37" si="3">+C22-(C$7+F22*C$8)</f>
        <v>2.2992000005615409E-2</v>
      </c>
      <c r="H22" s="29"/>
      <c r="I22" s="29">
        <f>+G22</f>
        <v>2.2992000005615409E-2</v>
      </c>
      <c r="J22" s="29"/>
      <c r="K22" s="29"/>
      <c r="L22" s="29"/>
      <c r="M22" s="29"/>
      <c r="N22" s="29"/>
      <c r="O22" s="29">
        <f t="shared" ref="O22:O37" ca="1" si="4">+C$11+C$12*F22</f>
        <v>3.649963842063364E-2</v>
      </c>
      <c r="P22" s="29"/>
      <c r="Q22" s="31">
        <f t="shared" si="2"/>
        <v>32751.097000000002</v>
      </c>
      <c r="R22" s="29"/>
      <c r="AA22">
        <v>5</v>
      </c>
      <c r="AC22" t="s">
        <v>25</v>
      </c>
      <c r="AF22" t="s">
        <v>27</v>
      </c>
    </row>
    <row r="23" spans="1:32" x14ac:dyDescent="0.2">
      <c r="A23" s="29" t="s">
        <v>28</v>
      </c>
      <c r="B23" s="29"/>
      <c r="C23" s="35">
        <v>48189.294000000002</v>
      </c>
      <c r="D23" s="35"/>
      <c r="E23" s="29">
        <f t="shared" si="0"/>
        <v>8901.0185372416963</v>
      </c>
      <c r="F23" s="29">
        <f t="shared" si="1"/>
        <v>8901</v>
      </c>
      <c r="G23" s="29">
        <f t="shared" si="3"/>
        <v>3.8136000002850778E-2</v>
      </c>
      <c r="H23" s="29"/>
      <c r="I23" s="29">
        <f>+G23</f>
        <v>3.8136000002850778E-2</v>
      </c>
      <c r="J23" s="29"/>
      <c r="K23" s="29"/>
      <c r="L23" s="29"/>
      <c r="M23" s="29"/>
      <c r="N23" s="29"/>
      <c r="O23" s="29">
        <f t="shared" ca="1" si="4"/>
        <v>3.1735073129042862E-2</v>
      </c>
      <c r="P23" s="29"/>
      <c r="Q23" s="31">
        <f t="shared" si="2"/>
        <v>33170.794000000002</v>
      </c>
      <c r="R23" s="29"/>
      <c r="AA23">
        <v>6</v>
      </c>
      <c r="AC23" t="s">
        <v>25</v>
      </c>
      <c r="AF23" t="s">
        <v>27</v>
      </c>
    </row>
    <row r="24" spans="1:32" x14ac:dyDescent="0.2">
      <c r="A24" s="29" t="s">
        <v>29</v>
      </c>
      <c r="B24" s="29"/>
      <c r="C24" s="35">
        <v>48621.305999999997</v>
      </c>
      <c r="D24" s="35">
        <v>4.0000000000000001E-3</v>
      </c>
      <c r="E24" s="29">
        <f t="shared" si="0"/>
        <v>9111.0120042930794</v>
      </c>
      <c r="F24" s="29">
        <f t="shared" si="1"/>
        <v>9111</v>
      </c>
      <c r="G24" s="29">
        <f t="shared" si="3"/>
        <v>2.4695999993127771E-2</v>
      </c>
      <c r="H24" s="29"/>
      <c r="I24" s="29">
        <f>+G24</f>
        <v>2.4695999993127771E-2</v>
      </c>
      <c r="J24" s="29"/>
      <c r="K24" s="29"/>
      <c r="L24" s="29"/>
      <c r="M24" s="29"/>
      <c r="N24" s="29"/>
      <c r="O24" s="29">
        <f t="shared" ca="1" si="4"/>
        <v>2.6830373564169979E-2</v>
      </c>
      <c r="P24" s="29"/>
      <c r="Q24" s="31">
        <f t="shared" si="2"/>
        <v>33602.805999999997</v>
      </c>
      <c r="R24" s="29"/>
      <c r="AA24">
        <v>9</v>
      </c>
      <c r="AC24" t="s">
        <v>25</v>
      </c>
      <c r="AF24" t="s">
        <v>27</v>
      </c>
    </row>
    <row r="25" spans="1:32" x14ac:dyDescent="0.2">
      <c r="A25" s="29" t="s">
        <v>30</v>
      </c>
      <c r="B25" s="29"/>
      <c r="C25" s="35">
        <v>50312.364000000001</v>
      </c>
      <c r="D25" s="35">
        <v>5.0000000000000001E-3</v>
      </c>
      <c r="E25" s="29">
        <f t="shared" si="0"/>
        <v>9933.0056813321007</v>
      </c>
      <c r="F25" s="29">
        <f t="shared" si="1"/>
        <v>9933</v>
      </c>
      <c r="G25" s="29">
        <f t="shared" si="3"/>
        <v>1.1687999998684973E-2</v>
      </c>
      <c r="H25" s="29"/>
      <c r="I25" s="29">
        <f>+G25</f>
        <v>1.1687999998684973E-2</v>
      </c>
      <c r="J25" s="29"/>
      <c r="K25" s="29"/>
      <c r="L25" s="29"/>
      <c r="M25" s="29"/>
      <c r="N25" s="29"/>
      <c r="O25" s="29">
        <f t="shared" ca="1" si="4"/>
        <v>7.6319781245247631E-3</v>
      </c>
      <c r="P25" s="29"/>
      <c r="Q25" s="31">
        <f t="shared" si="2"/>
        <v>35293.864000000001</v>
      </c>
      <c r="R25" s="29"/>
      <c r="AA25">
        <v>6</v>
      </c>
      <c r="AC25" t="s">
        <v>25</v>
      </c>
      <c r="AF25" t="s">
        <v>27</v>
      </c>
    </row>
    <row r="26" spans="1:32" x14ac:dyDescent="0.2">
      <c r="A26" s="29" t="s">
        <v>32</v>
      </c>
      <c r="B26" s="29"/>
      <c r="C26" s="35">
        <v>50707.348100000003</v>
      </c>
      <c r="D26" s="35">
        <v>1.2999999999999999E-3</v>
      </c>
      <c r="E26" s="29">
        <f t="shared" si="0"/>
        <v>10125.000534690736</v>
      </c>
      <c r="F26" s="29">
        <f t="shared" si="1"/>
        <v>10125</v>
      </c>
      <c r="G26" s="29">
        <f t="shared" si="3"/>
        <v>1.1000000085914508E-3</v>
      </c>
      <c r="H26" s="29"/>
      <c r="J26" s="29">
        <f>+G26</f>
        <v>1.1000000085914508E-3</v>
      </c>
      <c r="K26" s="29"/>
      <c r="L26" s="29"/>
      <c r="M26" s="29"/>
      <c r="N26" s="29"/>
      <c r="O26" s="29">
        <f t="shared" ca="1" si="4"/>
        <v>3.1476813794981406E-3</v>
      </c>
      <c r="P26" s="29"/>
      <c r="Q26" s="31">
        <f t="shared" si="2"/>
        <v>35688.848100000003</v>
      </c>
      <c r="R26" s="29"/>
      <c r="AA26">
        <v>13</v>
      </c>
      <c r="AC26" t="s">
        <v>31</v>
      </c>
      <c r="AF26" t="s">
        <v>27</v>
      </c>
    </row>
    <row r="27" spans="1:32" x14ac:dyDescent="0.2">
      <c r="A27" s="56" t="s">
        <v>89</v>
      </c>
      <c r="B27" s="57" t="s">
        <v>136</v>
      </c>
      <c r="C27" s="56">
        <v>51432.553500000002</v>
      </c>
      <c r="D27" s="56" t="s">
        <v>60</v>
      </c>
      <c r="E27" s="29">
        <f t="shared" si="0"/>
        <v>10477.510178567263</v>
      </c>
      <c r="F27" s="29">
        <f t="shared" si="1"/>
        <v>10477.5</v>
      </c>
      <c r="G27" s="29">
        <f t="shared" si="3"/>
        <v>2.0940000002156012E-2</v>
      </c>
      <c r="H27" s="29"/>
      <c r="J27" s="29">
        <f>+G27</f>
        <v>2.0940000002156012E-2</v>
      </c>
      <c r="K27" s="29"/>
      <c r="L27" s="29"/>
      <c r="M27" s="29"/>
      <c r="N27" s="29"/>
      <c r="O27" s="29">
        <f t="shared" ca="1" si="4"/>
        <v>-5.085207175824169E-3</v>
      </c>
      <c r="P27" s="29"/>
      <c r="Q27" s="31">
        <f t="shared" si="2"/>
        <v>36414.053500000002</v>
      </c>
      <c r="R27" s="29"/>
    </row>
    <row r="28" spans="1:32" x14ac:dyDescent="0.2">
      <c r="A28" s="56" t="s">
        <v>89</v>
      </c>
      <c r="B28" s="57" t="s">
        <v>34</v>
      </c>
      <c r="C28" s="56">
        <v>51464.411999999997</v>
      </c>
      <c r="D28" s="56" t="s">
        <v>60</v>
      </c>
      <c r="E28" s="29">
        <f t="shared" si="0"/>
        <v>10492.99603745557</v>
      </c>
      <c r="F28" s="29">
        <f t="shared" si="1"/>
        <v>10493</v>
      </c>
      <c r="G28" s="29">
        <f t="shared" si="3"/>
        <v>-8.1520000021555461E-3</v>
      </c>
      <c r="H28" s="29"/>
      <c r="J28" s="29">
        <f>+G28</f>
        <v>-8.1520000021555461E-3</v>
      </c>
      <c r="K28" s="29"/>
      <c r="L28" s="29"/>
      <c r="M28" s="29"/>
      <c r="N28" s="29"/>
      <c r="O28" s="29">
        <f t="shared" ca="1" si="4"/>
        <v>-5.4472207151362029E-3</v>
      </c>
      <c r="P28" s="29"/>
      <c r="Q28" s="31">
        <f t="shared" si="2"/>
        <v>36445.911999999997</v>
      </c>
      <c r="R28" s="29"/>
    </row>
    <row r="29" spans="1:32" x14ac:dyDescent="0.2">
      <c r="A29" s="10" t="s">
        <v>38</v>
      </c>
      <c r="B29" s="11" t="s">
        <v>34</v>
      </c>
      <c r="C29" s="12">
        <v>52548.577299999997</v>
      </c>
      <c r="D29" s="12">
        <v>8.0000000000000004E-4</v>
      </c>
      <c r="E29" s="29">
        <f t="shared" si="0"/>
        <v>11019.989801989437</v>
      </c>
      <c r="F29" s="29">
        <f t="shared" si="1"/>
        <v>11020</v>
      </c>
      <c r="G29" s="29">
        <f t="shared" si="3"/>
        <v>-2.0980000001145527E-2</v>
      </c>
      <c r="H29" s="29"/>
      <c r="K29" s="29">
        <f>+G29</f>
        <v>-2.0980000001145527E-2</v>
      </c>
      <c r="L29" s="29"/>
      <c r="M29" s="29"/>
      <c r="N29" s="29"/>
      <c r="O29" s="29">
        <f t="shared" ca="1" si="4"/>
        <v>-1.7755681051745742E-2</v>
      </c>
      <c r="P29" s="29"/>
      <c r="Q29" s="31">
        <f t="shared" si="2"/>
        <v>37530.077299999997</v>
      </c>
      <c r="R29" s="29"/>
    </row>
    <row r="30" spans="1:32" x14ac:dyDescent="0.2">
      <c r="A30" s="32" t="s">
        <v>33</v>
      </c>
      <c r="B30" s="33" t="s">
        <v>34</v>
      </c>
      <c r="C30" s="35">
        <v>52908.593000000001</v>
      </c>
      <c r="D30" s="36">
        <v>4.0000000000000001E-3</v>
      </c>
      <c r="E30" s="29">
        <f t="shared" si="0"/>
        <v>11194.987128535766</v>
      </c>
      <c r="F30" s="29">
        <f t="shared" si="1"/>
        <v>11195</v>
      </c>
      <c r="G30" s="29">
        <f t="shared" si="3"/>
        <v>-2.6479999993171077E-2</v>
      </c>
      <c r="H30" s="29"/>
      <c r="K30" s="29">
        <f>+G30</f>
        <v>-2.6479999993171077E-2</v>
      </c>
      <c r="L30" s="29"/>
      <c r="M30" s="29"/>
      <c r="N30" s="29"/>
      <c r="O30" s="29">
        <f t="shared" ca="1" si="4"/>
        <v>-2.1842930689139783E-2</v>
      </c>
      <c r="P30" s="29"/>
      <c r="Q30" s="31">
        <f t="shared" si="2"/>
        <v>37890.093000000001</v>
      </c>
      <c r="R30" s="29"/>
    </row>
    <row r="31" spans="1:32" x14ac:dyDescent="0.2">
      <c r="A31" s="40" t="s">
        <v>49</v>
      </c>
      <c r="B31" s="41" t="s">
        <v>34</v>
      </c>
      <c r="C31" s="40">
        <v>53229.525999999998</v>
      </c>
      <c r="D31" s="40">
        <v>4.0000000000000001E-3</v>
      </c>
      <c r="E31" s="29">
        <f t="shared" si="0"/>
        <v>11350.987039096586</v>
      </c>
      <c r="F31" s="29">
        <f t="shared" si="1"/>
        <v>11351</v>
      </c>
      <c r="G31" s="29">
        <f t="shared" si="3"/>
        <v>-2.6664000004529953E-2</v>
      </c>
      <c r="H31" s="29"/>
      <c r="I31" s="29">
        <f>+G31</f>
        <v>-2.6664000004529953E-2</v>
      </c>
      <c r="K31" s="29"/>
      <c r="L31" s="29"/>
      <c r="M31" s="29"/>
      <c r="N31" s="29"/>
      <c r="O31" s="29">
        <f t="shared" ca="1" si="4"/>
        <v>-2.5486421794473912E-2</v>
      </c>
      <c r="P31" s="29"/>
      <c r="Q31" s="31">
        <f t="shared" si="2"/>
        <v>38211.025999999998</v>
      </c>
      <c r="R31" s="29"/>
    </row>
    <row r="32" spans="1:32" x14ac:dyDescent="0.2">
      <c r="A32" s="10" t="s">
        <v>39</v>
      </c>
      <c r="B32" s="11" t="s">
        <v>34</v>
      </c>
      <c r="C32" s="12">
        <v>53266.560799999999</v>
      </c>
      <c r="D32" s="12">
        <v>2E-3</v>
      </c>
      <c r="E32" s="29">
        <f t="shared" si="0"/>
        <v>11368.989006758491</v>
      </c>
      <c r="F32" s="29">
        <f t="shared" si="1"/>
        <v>11369</v>
      </c>
      <c r="G32" s="29">
        <f t="shared" si="3"/>
        <v>-2.2615999994741287E-2</v>
      </c>
      <c r="H32" s="29"/>
      <c r="K32" s="29">
        <f>+G32</f>
        <v>-2.2615999994741287E-2</v>
      </c>
      <c r="L32" s="29"/>
      <c r="M32" s="29"/>
      <c r="N32" s="29"/>
      <c r="O32" s="29">
        <f t="shared" ca="1" si="4"/>
        <v>-2.5906824614320145E-2</v>
      </c>
      <c r="P32" s="29"/>
      <c r="Q32" s="31">
        <f t="shared" si="2"/>
        <v>38248.060799999999</v>
      </c>
      <c r="R32" s="29"/>
    </row>
    <row r="33" spans="1:18" x14ac:dyDescent="0.2">
      <c r="A33" s="40" t="s">
        <v>49</v>
      </c>
      <c r="B33" s="41" t="s">
        <v>34</v>
      </c>
      <c r="C33" s="40">
        <v>53587.476999999999</v>
      </c>
      <c r="D33" s="40">
        <v>6.0000000000000001E-3</v>
      </c>
      <c r="E33" s="29">
        <f t="shared" si="0"/>
        <v>11524.980751133544</v>
      </c>
      <c r="F33" s="29">
        <f t="shared" si="1"/>
        <v>11525</v>
      </c>
      <c r="G33" s="29">
        <f t="shared" si="3"/>
        <v>-3.9600000003702007E-2</v>
      </c>
      <c r="H33" s="29"/>
      <c r="I33" s="29">
        <f>+G33</f>
        <v>-3.9600000003702007E-2</v>
      </c>
      <c r="K33" s="29"/>
      <c r="L33" s="29"/>
      <c r="M33" s="29"/>
      <c r="N33" s="29"/>
      <c r="O33" s="29">
        <f t="shared" ca="1" si="4"/>
        <v>-2.9550315719654274E-2</v>
      </c>
      <c r="P33" s="29"/>
      <c r="Q33" s="31">
        <f t="shared" si="2"/>
        <v>38568.976999999999</v>
      </c>
      <c r="R33" s="29"/>
    </row>
    <row r="34" spans="1:18" x14ac:dyDescent="0.2">
      <c r="A34" s="32" t="s">
        <v>37</v>
      </c>
      <c r="B34" s="34"/>
      <c r="C34" s="35">
        <v>53657.433499999999</v>
      </c>
      <c r="D34" s="35">
        <v>1.6999999999999999E-3</v>
      </c>
      <c r="E34" s="29">
        <f t="shared" si="0"/>
        <v>11558.985380583144</v>
      </c>
      <c r="F34" s="29">
        <f t="shared" si="1"/>
        <v>11559</v>
      </c>
      <c r="G34" s="29">
        <f t="shared" si="3"/>
        <v>-3.0075999995460734E-2</v>
      </c>
      <c r="H34" s="29"/>
      <c r="J34" s="29">
        <f>+G34</f>
        <v>-3.0075999995460734E-2</v>
      </c>
      <c r="L34" s="29"/>
      <c r="M34" s="29"/>
      <c r="N34" s="29"/>
      <c r="O34" s="29">
        <f t="shared" ca="1" si="4"/>
        <v>-3.0344409934919436E-2</v>
      </c>
      <c r="P34" s="29"/>
      <c r="Q34" s="31">
        <f t="shared" si="2"/>
        <v>38638.933499999999</v>
      </c>
      <c r="R34" s="29"/>
    </row>
    <row r="35" spans="1:18" x14ac:dyDescent="0.2">
      <c r="A35" s="56" t="s">
        <v>125</v>
      </c>
      <c r="B35" s="57" t="s">
        <v>34</v>
      </c>
      <c r="C35" s="56">
        <v>55097.504099999998</v>
      </c>
      <c r="D35" s="56" t="s">
        <v>60</v>
      </c>
      <c r="E35" s="29">
        <f t="shared" si="0"/>
        <v>12258.978478211839</v>
      </c>
      <c r="F35" s="29">
        <f t="shared" si="1"/>
        <v>12259</v>
      </c>
      <c r="G35" s="29">
        <f t="shared" si="3"/>
        <v>-4.4276000000536442E-2</v>
      </c>
      <c r="H35" s="29"/>
      <c r="I35" s="29">
        <f>+G35</f>
        <v>-4.4276000000536442E-2</v>
      </c>
      <c r="K35" s="29"/>
      <c r="L35" s="29"/>
      <c r="M35" s="29"/>
      <c r="N35" s="29"/>
      <c r="O35" s="29">
        <f t="shared" ca="1" si="4"/>
        <v>-4.6693408484495658E-2</v>
      </c>
      <c r="P35" s="29"/>
      <c r="Q35" s="31">
        <f t="shared" si="2"/>
        <v>40079.004099999998</v>
      </c>
      <c r="R35" s="29"/>
    </row>
    <row r="36" spans="1:18" x14ac:dyDescent="0.2">
      <c r="A36" s="37" t="s">
        <v>48</v>
      </c>
      <c r="B36" s="38" t="s">
        <v>34</v>
      </c>
      <c r="C36" s="39">
        <v>55498.663</v>
      </c>
      <c r="D36" s="39">
        <v>5.9999999999999995E-4</v>
      </c>
      <c r="E36" s="29">
        <f t="shared" si="0"/>
        <v>12453.974793706593</v>
      </c>
      <c r="F36" s="29">
        <f t="shared" si="1"/>
        <v>12454</v>
      </c>
      <c r="G36" s="29">
        <f t="shared" si="3"/>
        <v>-5.1855999998224434E-2</v>
      </c>
      <c r="H36" s="29"/>
      <c r="K36" s="29">
        <f>+G36</f>
        <v>-5.1855999998224434E-2</v>
      </c>
      <c r="L36" s="29"/>
      <c r="M36" s="29"/>
      <c r="N36" s="29"/>
      <c r="O36" s="29">
        <f t="shared" ca="1" si="4"/>
        <v>-5.1247772366163291E-2</v>
      </c>
      <c r="P36" s="29"/>
      <c r="Q36" s="31">
        <f t="shared" si="2"/>
        <v>40480.163</v>
      </c>
      <c r="R36" s="29"/>
    </row>
    <row r="37" spans="1:18" x14ac:dyDescent="0.2">
      <c r="A37" s="56" t="s">
        <v>135</v>
      </c>
      <c r="B37" s="57" t="s">
        <v>34</v>
      </c>
      <c r="C37" s="56">
        <v>55815.476300000002</v>
      </c>
      <c r="D37" s="56" t="s">
        <v>60</v>
      </c>
      <c r="E37" s="29">
        <f t="shared" si="0"/>
        <v>12607.972190248798</v>
      </c>
      <c r="F37" s="29">
        <f t="shared" si="1"/>
        <v>12608</v>
      </c>
      <c r="G37" s="29">
        <f t="shared" si="3"/>
        <v>-5.7211999992432538E-2</v>
      </c>
      <c r="H37" s="29"/>
      <c r="I37" s="29">
        <f>+G37</f>
        <v>-5.7211999992432538E-2</v>
      </c>
      <c r="K37" s="29"/>
      <c r="L37" s="29"/>
      <c r="M37" s="29"/>
      <c r="N37" s="29"/>
      <c r="O37" s="29">
        <f t="shared" ca="1" si="4"/>
        <v>-5.4844552047070061E-2</v>
      </c>
      <c r="P37" s="29"/>
      <c r="Q37" s="31">
        <f t="shared" si="2"/>
        <v>40796.976300000002</v>
      </c>
      <c r="R37" s="29"/>
    </row>
    <row r="38" spans="1:18" x14ac:dyDescent="0.2">
      <c r="A38" s="29"/>
      <c r="B38" s="33"/>
      <c r="C38" s="29"/>
      <c r="D38" s="33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x14ac:dyDescent="0.2">
      <c r="A39" s="29"/>
      <c r="B39" s="29"/>
      <c r="C39" s="29"/>
      <c r="D39" s="33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x14ac:dyDescent="0.2">
      <c r="A40" s="29"/>
      <c r="B40" s="29"/>
      <c r="C40" s="29"/>
      <c r="D40" s="33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x14ac:dyDescent="0.2">
      <c r="A41" s="29"/>
      <c r="B41" s="29"/>
      <c r="C41" s="29"/>
      <c r="D41" s="33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 x14ac:dyDescent="0.2">
      <c r="A42" s="29"/>
      <c r="B42" s="29"/>
      <c r="C42" s="29"/>
      <c r="D42" s="33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x14ac:dyDescent="0.2">
      <c r="A43" s="29"/>
      <c r="B43" s="29"/>
      <c r="C43" s="29"/>
      <c r="D43" s="33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D44" s="3"/>
    </row>
    <row r="45" spans="1:18" x14ac:dyDescent="0.2">
      <c r="D45" s="3"/>
    </row>
    <row r="46" spans="1:18" x14ac:dyDescent="0.2">
      <c r="D46" s="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topLeftCell="A5" workbookViewId="0">
      <selection activeCell="A23" sqref="A23:D26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2" t="s">
        <v>50</v>
      </c>
      <c r="I1" s="44" t="s">
        <v>51</v>
      </c>
      <c r="J1" s="45" t="s">
        <v>52</v>
      </c>
    </row>
    <row r="2" spans="1:16" x14ac:dyDescent="0.2">
      <c r="I2" s="46" t="s">
        <v>53</v>
      </c>
      <c r="J2" s="47" t="s">
        <v>54</v>
      </c>
    </row>
    <row r="3" spans="1:16" x14ac:dyDescent="0.2">
      <c r="A3" s="48" t="s">
        <v>55</v>
      </c>
      <c r="I3" s="46" t="s">
        <v>56</v>
      </c>
      <c r="J3" s="47" t="s">
        <v>57</v>
      </c>
    </row>
    <row r="4" spans="1:16" x14ac:dyDescent="0.2">
      <c r="I4" s="46" t="s">
        <v>58</v>
      </c>
      <c r="J4" s="47" t="s">
        <v>57</v>
      </c>
    </row>
    <row r="5" spans="1:16" ht="13.5" thickBot="1" x14ac:dyDescent="0.25">
      <c r="I5" s="49" t="s">
        <v>59</v>
      </c>
      <c r="J5" s="50" t="s">
        <v>60</v>
      </c>
    </row>
    <row r="10" spans="1:16" ht="13.5" thickBot="1" x14ac:dyDescent="0.25"/>
    <row r="11" spans="1:16" ht="12.75" customHeight="1" thickBot="1" x14ac:dyDescent="0.25">
      <c r="A11" s="43" t="str">
        <f t="shared" ref="A11:A26" si="0">P11</f>
        <v> BBS 92 </v>
      </c>
      <c r="B11" s="3" t="str">
        <f t="shared" ref="B11:B26" si="1">IF(H11=INT(H11),"I","II")</f>
        <v>I</v>
      </c>
      <c r="C11" s="43">
        <f t="shared" ref="C11:C26" si="2">1*G11</f>
        <v>47769.597000000002</v>
      </c>
      <c r="D11" s="8" t="str">
        <f t="shared" ref="D11:D26" si="3">VLOOKUP(F11,I$1:J$5,2,FALSE)</f>
        <v>vis</v>
      </c>
      <c r="E11" s="51">
        <f>VLOOKUP(C11,Active!C$21:E$973,3,FALSE)</f>
        <v>8697.0111760085256</v>
      </c>
      <c r="F11" s="3" t="s">
        <v>59</v>
      </c>
      <c r="G11" s="8" t="str">
        <f t="shared" ref="G11:G26" si="4">MID(I11,3,LEN(I11)-3)</f>
        <v>47769.597</v>
      </c>
      <c r="H11" s="43">
        <f t="shared" ref="H11:H26" si="5">1*K11</f>
        <v>8697</v>
      </c>
      <c r="I11" s="52" t="s">
        <v>61</v>
      </c>
      <c r="J11" s="53" t="s">
        <v>62</v>
      </c>
      <c r="K11" s="52">
        <v>8697</v>
      </c>
      <c r="L11" s="52" t="s">
        <v>63</v>
      </c>
      <c r="M11" s="53" t="s">
        <v>64</v>
      </c>
      <c r="N11" s="53"/>
      <c r="O11" s="54" t="s">
        <v>65</v>
      </c>
      <c r="P11" s="54" t="s">
        <v>66</v>
      </c>
    </row>
    <row r="12" spans="1:16" ht="12.75" customHeight="1" thickBot="1" x14ac:dyDescent="0.25">
      <c r="A12" s="43" t="str">
        <f t="shared" si="0"/>
        <v> BBS 96 </v>
      </c>
      <c r="B12" s="3" t="str">
        <f t="shared" si="1"/>
        <v>I</v>
      </c>
      <c r="C12" s="43">
        <f t="shared" si="2"/>
        <v>48189.294000000002</v>
      </c>
      <c r="D12" s="8" t="str">
        <f t="shared" si="3"/>
        <v>vis</v>
      </c>
      <c r="E12" s="51">
        <f>VLOOKUP(C12,Active!C$21:E$973,3,FALSE)</f>
        <v>8901.0185372416963</v>
      </c>
      <c r="F12" s="3" t="s">
        <v>59</v>
      </c>
      <c r="G12" s="8" t="str">
        <f t="shared" si="4"/>
        <v>48189.294</v>
      </c>
      <c r="H12" s="43">
        <f t="shared" si="5"/>
        <v>8901</v>
      </c>
      <c r="I12" s="52" t="s">
        <v>67</v>
      </c>
      <c r="J12" s="53" t="s">
        <v>68</v>
      </c>
      <c r="K12" s="52">
        <v>8901</v>
      </c>
      <c r="L12" s="52" t="s">
        <v>69</v>
      </c>
      <c r="M12" s="53" t="s">
        <v>64</v>
      </c>
      <c r="N12" s="53"/>
      <c r="O12" s="54" t="s">
        <v>65</v>
      </c>
      <c r="P12" s="54" t="s">
        <v>70</v>
      </c>
    </row>
    <row r="13" spans="1:16" ht="12.75" customHeight="1" thickBot="1" x14ac:dyDescent="0.25">
      <c r="A13" s="43" t="str">
        <f t="shared" si="0"/>
        <v> BBS 99 </v>
      </c>
      <c r="B13" s="3" t="str">
        <f t="shared" si="1"/>
        <v>I</v>
      </c>
      <c r="C13" s="43">
        <f t="shared" si="2"/>
        <v>48621.305999999997</v>
      </c>
      <c r="D13" s="8" t="str">
        <f t="shared" si="3"/>
        <v>vis</v>
      </c>
      <c r="E13" s="51">
        <f>VLOOKUP(C13,Active!C$21:E$973,3,FALSE)</f>
        <v>9111.0120042930794</v>
      </c>
      <c r="F13" s="3" t="s">
        <v>59</v>
      </c>
      <c r="G13" s="8" t="str">
        <f t="shared" si="4"/>
        <v>48621.306</v>
      </c>
      <c r="H13" s="43">
        <f t="shared" si="5"/>
        <v>9111</v>
      </c>
      <c r="I13" s="52" t="s">
        <v>71</v>
      </c>
      <c r="J13" s="53" t="s">
        <v>72</v>
      </c>
      <c r="K13" s="52">
        <v>9111</v>
      </c>
      <c r="L13" s="52" t="s">
        <v>73</v>
      </c>
      <c r="M13" s="53" t="s">
        <v>64</v>
      </c>
      <c r="N13" s="53"/>
      <c r="O13" s="54" t="s">
        <v>65</v>
      </c>
      <c r="P13" s="54" t="s">
        <v>74</v>
      </c>
    </row>
    <row r="14" spans="1:16" ht="12.75" customHeight="1" thickBot="1" x14ac:dyDescent="0.25">
      <c r="A14" s="43" t="str">
        <f t="shared" si="0"/>
        <v> BBS 113 </v>
      </c>
      <c r="B14" s="3" t="str">
        <f t="shared" si="1"/>
        <v>I</v>
      </c>
      <c r="C14" s="43">
        <f t="shared" si="2"/>
        <v>50312.364000000001</v>
      </c>
      <c r="D14" s="8" t="str">
        <f t="shared" si="3"/>
        <v>vis</v>
      </c>
      <c r="E14" s="51">
        <f>VLOOKUP(C14,Active!C$21:E$973,3,FALSE)</f>
        <v>9933.0056813321007</v>
      </c>
      <c r="F14" s="3" t="s">
        <v>59</v>
      </c>
      <c r="G14" s="8" t="str">
        <f t="shared" si="4"/>
        <v>50312.364</v>
      </c>
      <c r="H14" s="43">
        <f t="shared" si="5"/>
        <v>9933</v>
      </c>
      <c r="I14" s="52" t="s">
        <v>75</v>
      </c>
      <c r="J14" s="53" t="s">
        <v>76</v>
      </c>
      <c r="K14" s="52">
        <v>9933</v>
      </c>
      <c r="L14" s="52" t="s">
        <v>77</v>
      </c>
      <c r="M14" s="53" t="s">
        <v>64</v>
      </c>
      <c r="N14" s="53"/>
      <c r="O14" s="54" t="s">
        <v>65</v>
      </c>
      <c r="P14" s="54" t="s">
        <v>78</v>
      </c>
    </row>
    <row r="15" spans="1:16" ht="12.75" customHeight="1" thickBot="1" x14ac:dyDescent="0.25">
      <c r="A15" s="43" t="str">
        <f t="shared" si="0"/>
        <v> BBS 116 </v>
      </c>
      <c r="B15" s="3" t="str">
        <f t="shared" si="1"/>
        <v>I</v>
      </c>
      <c r="C15" s="43">
        <f t="shared" si="2"/>
        <v>50707.348100000003</v>
      </c>
      <c r="D15" s="8" t="str">
        <f t="shared" si="3"/>
        <v>vis</v>
      </c>
      <c r="E15" s="51">
        <f>VLOOKUP(C15,Active!C$21:E$973,3,FALSE)</f>
        <v>10125.000534690736</v>
      </c>
      <c r="F15" s="3" t="s">
        <v>59</v>
      </c>
      <c r="G15" s="8" t="str">
        <f t="shared" si="4"/>
        <v>50707.3481</v>
      </c>
      <c r="H15" s="43">
        <f t="shared" si="5"/>
        <v>10125</v>
      </c>
      <c r="I15" s="52" t="s">
        <v>79</v>
      </c>
      <c r="J15" s="53" t="s">
        <v>80</v>
      </c>
      <c r="K15" s="52">
        <v>10125</v>
      </c>
      <c r="L15" s="52" t="s">
        <v>81</v>
      </c>
      <c r="M15" s="53" t="s">
        <v>82</v>
      </c>
      <c r="N15" s="53" t="s">
        <v>83</v>
      </c>
      <c r="O15" s="54" t="s">
        <v>84</v>
      </c>
      <c r="P15" s="54" t="s">
        <v>85</v>
      </c>
    </row>
    <row r="16" spans="1:16" ht="12.75" customHeight="1" thickBot="1" x14ac:dyDescent="0.25">
      <c r="A16" s="43" t="str">
        <f t="shared" si="0"/>
        <v> BBS 129 </v>
      </c>
      <c r="B16" s="3" t="str">
        <f t="shared" si="1"/>
        <v>I</v>
      </c>
      <c r="C16" s="43">
        <f t="shared" si="2"/>
        <v>52548.577299999997</v>
      </c>
      <c r="D16" s="8" t="str">
        <f t="shared" si="3"/>
        <v>vis</v>
      </c>
      <c r="E16" s="51">
        <f>VLOOKUP(C16,Active!C$21:E$973,3,FALSE)</f>
        <v>11019.989801989437</v>
      </c>
      <c r="F16" s="3" t="s">
        <v>59</v>
      </c>
      <c r="G16" s="8" t="str">
        <f t="shared" si="4"/>
        <v>52548.5773</v>
      </c>
      <c r="H16" s="43">
        <f t="shared" si="5"/>
        <v>11020</v>
      </c>
      <c r="I16" s="52" t="s">
        <v>93</v>
      </c>
      <c r="J16" s="53" t="s">
        <v>94</v>
      </c>
      <c r="K16" s="52">
        <v>11020</v>
      </c>
      <c r="L16" s="52" t="s">
        <v>95</v>
      </c>
      <c r="M16" s="53" t="s">
        <v>82</v>
      </c>
      <c r="N16" s="53" t="s">
        <v>83</v>
      </c>
      <c r="O16" s="54" t="s">
        <v>84</v>
      </c>
      <c r="P16" s="54" t="s">
        <v>96</v>
      </c>
    </row>
    <row r="17" spans="1:16" ht="12.75" customHeight="1" thickBot="1" x14ac:dyDescent="0.25">
      <c r="A17" s="43" t="str">
        <f t="shared" si="0"/>
        <v> BBS 130 </v>
      </c>
      <c r="B17" s="3" t="str">
        <f t="shared" si="1"/>
        <v>I</v>
      </c>
      <c r="C17" s="43">
        <f t="shared" si="2"/>
        <v>52908.593000000001</v>
      </c>
      <c r="D17" s="8" t="str">
        <f t="shared" si="3"/>
        <v>vis</v>
      </c>
      <c r="E17" s="51">
        <f>VLOOKUP(C17,Active!C$21:E$973,3,FALSE)</f>
        <v>11194.987128535766</v>
      </c>
      <c r="F17" s="3" t="s">
        <v>59</v>
      </c>
      <c r="G17" s="8" t="str">
        <f t="shared" si="4"/>
        <v>52908.593</v>
      </c>
      <c r="H17" s="43">
        <f t="shared" si="5"/>
        <v>11195</v>
      </c>
      <c r="I17" s="52" t="s">
        <v>97</v>
      </c>
      <c r="J17" s="53" t="s">
        <v>98</v>
      </c>
      <c r="K17" s="52">
        <v>11195</v>
      </c>
      <c r="L17" s="52" t="s">
        <v>99</v>
      </c>
      <c r="M17" s="53" t="s">
        <v>64</v>
      </c>
      <c r="N17" s="53"/>
      <c r="O17" s="54" t="s">
        <v>65</v>
      </c>
      <c r="P17" s="54" t="s">
        <v>100</v>
      </c>
    </row>
    <row r="18" spans="1:16" ht="12.75" customHeight="1" thickBot="1" x14ac:dyDescent="0.25">
      <c r="A18" s="43" t="str">
        <f t="shared" si="0"/>
        <v>OEJV 0003 </v>
      </c>
      <c r="B18" s="3" t="str">
        <f t="shared" si="1"/>
        <v>I</v>
      </c>
      <c r="C18" s="43">
        <f t="shared" si="2"/>
        <v>53229.525999999998</v>
      </c>
      <c r="D18" s="8" t="str">
        <f t="shared" si="3"/>
        <v>vis</v>
      </c>
      <c r="E18" s="51">
        <f>VLOOKUP(C18,Active!C$21:E$973,3,FALSE)</f>
        <v>11350.987039096586</v>
      </c>
      <c r="F18" s="3" t="s">
        <v>59</v>
      </c>
      <c r="G18" s="8" t="str">
        <f t="shared" si="4"/>
        <v>53229.526</v>
      </c>
      <c r="H18" s="43">
        <f t="shared" si="5"/>
        <v>11351</v>
      </c>
      <c r="I18" s="52" t="s">
        <v>101</v>
      </c>
      <c r="J18" s="53" t="s">
        <v>102</v>
      </c>
      <c r="K18" s="52">
        <v>11351</v>
      </c>
      <c r="L18" s="52" t="s">
        <v>103</v>
      </c>
      <c r="M18" s="53" t="s">
        <v>64</v>
      </c>
      <c r="N18" s="53"/>
      <c r="O18" s="54" t="s">
        <v>65</v>
      </c>
      <c r="P18" s="55" t="s">
        <v>104</v>
      </c>
    </row>
    <row r="19" spans="1:16" ht="12.75" customHeight="1" thickBot="1" x14ac:dyDescent="0.25">
      <c r="A19" s="43" t="str">
        <f t="shared" si="0"/>
        <v>IBVS 5653 </v>
      </c>
      <c r="B19" s="3" t="str">
        <f t="shared" si="1"/>
        <v>I</v>
      </c>
      <c r="C19" s="43">
        <f t="shared" si="2"/>
        <v>53266.560799999999</v>
      </c>
      <c r="D19" s="8" t="str">
        <f t="shared" si="3"/>
        <v>vis</v>
      </c>
      <c r="E19" s="51">
        <f>VLOOKUP(C19,Active!C$21:E$973,3,FALSE)</f>
        <v>11368.989006758491</v>
      </c>
      <c r="F19" s="3" t="s">
        <v>59</v>
      </c>
      <c r="G19" s="8" t="str">
        <f t="shared" si="4"/>
        <v>53266.5608</v>
      </c>
      <c r="H19" s="43">
        <f t="shared" si="5"/>
        <v>11369</v>
      </c>
      <c r="I19" s="52" t="s">
        <v>105</v>
      </c>
      <c r="J19" s="53" t="s">
        <v>106</v>
      </c>
      <c r="K19" s="52">
        <v>11369</v>
      </c>
      <c r="L19" s="52" t="s">
        <v>107</v>
      </c>
      <c r="M19" s="53" t="s">
        <v>82</v>
      </c>
      <c r="N19" s="53" t="s">
        <v>83</v>
      </c>
      <c r="O19" s="54" t="s">
        <v>108</v>
      </c>
      <c r="P19" s="55" t="s">
        <v>109</v>
      </c>
    </row>
    <row r="20" spans="1:16" ht="12.75" customHeight="1" thickBot="1" x14ac:dyDescent="0.25">
      <c r="A20" s="43" t="str">
        <f t="shared" si="0"/>
        <v>OEJV 0003 </v>
      </c>
      <c r="B20" s="3" t="str">
        <f t="shared" si="1"/>
        <v>I</v>
      </c>
      <c r="C20" s="43">
        <f t="shared" si="2"/>
        <v>53587.476999999999</v>
      </c>
      <c r="D20" s="8" t="str">
        <f t="shared" si="3"/>
        <v>vis</v>
      </c>
      <c r="E20" s="51">
        <f>VLOOKUP(C20,Active!C$21:E$973,3,FALSE)</f>
        <v>11524.980751133544</v>
      </c>
      <c r="F20" s="3" t="s">
        <v>59</v>
      </c>
      <c r="G20" s="8" t="str">
        <f t="shared" si="4"/>
        <v>53587.477</v>
      </c>
      <c r="H20" s="43">
        <f t="shared" si="5"/>
        <v>11525</v>
      </c>
      <c r="I20" s="52" t="s">
        <v>110</v>
      </c>
      <c r="J20" s="53" t="s">
        <v>111</v>
      </c>
      <c r="K20" s="52">
        <v>11525</v>
      </c>
      <c r="L20" s="52" t="s">
        <v>112</v>
      </c>
      <c r="M20" s="53" t="s">
        <v>64</v>
      </c>
      <c r="N20" s="53"/>
      <c r="O20" s="54" t="s">
        <v>65</v>
      </c>
      <c r="P20" s="55" t="s">
        <v>104</v>
      </c>
    </row>
    <row r="21" spans="1:16" ht="12.75" customHeight="1" thickBot="1" x14ac:dyDescent="0.25">
      <c r="A21" s="43" t="str">
        <f t="shared" si="0"/>
        <v>BAVM 178 </v>
      </c>
      <c r="B21" s="3" t="str">
        <f t="shared" si="1"/>
        <v>I</v>
      </c>
      <c r="C21" s="43">
        <f t="shared" si="2"/>
        <v>53657.433499999999</v>
      </c>
      <c r="D21" s="8" t="str">
        <f t="shared" si="3"/>
        <v>vis</v>
      </c>
      <c r="E21" s="51">
        <f>VLOOKUP(C21,Active!C$21:E$973,3,FALSE)</f>
        <v>11558.985380583144</v>
      </c>
      <c r="F21" s="3" t="s">
        <v>59</v>
      </c>
      <c r="G21" s="8" t="str">
        <f t="shared" si="4"/>
        <v>53657.4335</v>
      </c>
      <c r="H21" s="43">
        <f t="shared" si="5"/>
        <v>11559</v>
      </c>
      <c r="I21" s="52" t="s">
        <v>113</v>
      </c>
      <c r="J21" s="53" t="s">
        <v>114</v>
      </c>
      <c r="K21" s="52">
        <v>11559</v>
      </c>
      <c r="L21" s="52" t="s">
        <v>115</v>
      </c>
      <c r="M21" s="53" t="s">
        <v>116</v>
      </c>
      <c r="N21" s="53" t="s">
        <v>117</v>
      </c>
      <c r="O21" s="54" t="s">
        <v>118</v>
      </c>
      <c r="P21" s="55" t="s">
        <v>119</v>
      </c>
    </row>
    <row r="22" spans="1:16" ht="12.75" customHeight="1" thickBot="1" x14ac:dyDescent="0.25">
      <c r="A22" s="43" t="str">
        <f t="shared" si="0"/>
        <v>IBVS 5960 </v>
      </c>
      <c r="B22" s="3" t="str">
        <f t="shared" si="1"/>
        <v>I</v>
      </c>
      <c r="C22" s="43">
        <f t="shared" si="2"/>
        <v>55498.663</v>
      </c>
      <c r="D22" s="8" t="str">
        <f t="shared" si="3"/>
        <v>vis</v>
      </c>
      <c r="E22" s="51">
        <f>VLOOKUP(C22,Active!C$21:E$973,3,FALSE)</f>
        <v>12453.974793706593</v>
      </c>
      <c r="F22" s="3" t="s">
        <v>59</v>
      </c>
      <c r="G22" s="8" t="str">
        <f t="shared" si="4"/>
        <v>55498.6630</v>
      </c>
      <c r="H22" s="43">
        <f t="shared" si="5"/>
        <v>12454</v>
      </c>
      <c r="I22" s="52" t="s">
        <v>126</v>
      </c>
      <c r="J22" s="53" t="s">
        <v>127</v>
      </c>
      <c r="K22" s="52" t="s">
        <v>128</v>
      </c>
      <c r="L22" s="52" t="s">
        <v>129</v>
      </c>
      <c r="M22" s="53" t="s">
        <v>116</v>
      </c>
      <c r="N22" s="53" t="s">
        <v>59</v>
      </c>
      <c r="O22" s="54" t="s">
        <v>84</v>
      </c>
      <c r="P22" s="55" t="s">
        <v>130</v>
      </c>
    </row>
    <row r="23" spans="1:16" ht="12.75" customHeight="1" thickBot="1" x14ac:dyDescent="0.25">
      <c r="A23" s="43" t="str">
        <f t="shared" si="0"/>
        <v> BBS 121 </v>
      </c>
      <c r="B23" s="3" t="str">
        <f t="shared" si="1"/>
        <v>II</v>
      </c>
      <c r="C23" s="43">
        <f t="shared" si="2"/>
        <v>51432.553500000002</v>
      </c>
      <c r="D23" s="8" t="str">
        <f t="shared" si="3"/>
        <v>vis</v>
      </c>
      <c r="E23" s="51">
        <f>VLOOKUP(C23,Active!C$21:E$973,3,FALSE)</f>
        <v>10477.510178567263</v>
      </c>
      <c r="F23" s="3" t="s">
        <v>59</v>
      </c>
      <c r="G23" s="8" t="str">
        <f t="shared" si="4"/>
        <v>51432.5535</v>
      </c>
      <c r="H23" s="43">
        <f t="shared" si="5"/>
        <v>10477.5</v>
      </c>
      <c r="I23" s="52" t="s">
        <v>86</v>
      </c>
      <c r="J23" s="53" t="s">
        <v>87</v>
      </c>
      <c r="K23" s="52">
        <v>10477.5</v>
      </c>
      <c r="L23" s="52" t="s">
        <v>88</v>
      </c>
      <c r="M23" s="53" t="s">
        <v>82</v>
      </c>
      <c r="N23" s="53" t="s">
        <v>83</v>
      </c>
      <c r="O23" s="54" t="s">
        <v>84</v>
      </c>
      <c r="P23" s="54" t="s">
        <v>89</v>
      </c>
    </row>
    <row r="24" spans="1:16" ht="12.75" customHeight="1" thickBot="1" x14ac:dyDescent="0.25">
      <c r="A24" s="43" t="str">
        <f t="shared" si="0"/>
        <v> BBS 121 </v>
      </c>
      <c r="B24" s="3" t="str">
        <f t="shared" si="1"/>
        <v>I</v>
      </c>
      <c r="C24" s="43">
        <f t="shared" si="2"/>
        <v>51464.411999999997</v>
      </c>
      <c r="D24" s="8" t="str">
        <f t="shared" si="3"/>
        <v>vis</v>
      </c>
      <c r="E24" s="51">
        <f>VLOOKUP(C24,Active!C$21:E$973,3,FALSE)</f>
        <v>10492.99603745557</v>
      </c>
      <c r="F24" s="3" t="s">
        <v>59</v>
      </c>
      <c r="G24" s="8" t="str">
        <f t="shared" si="4"/>
        <v>51464.412</v>
      </c>
      <c r="H24" s="43">
        <f t="shared" si="5"/>
        <v>10493</v>
      </c>
      <c r="I24" s="52" t="s">
        <v>90</v>
      </c>
      <c r="J24" s="53" t="s">
        <v>91</v>
      </c>
      <c r="K24" s="52">
        <v>10493</v>
      </c>
      <c r="L24" s="52" t="s">
        <v>92</v>
      </c>
      <c r="M24" s="53" t="s">
        <v>64</v>
      </c>
      <c r="N24" s="53"/>
      <c r="O24" s="54" t="s">
        <v>65</v>
      </c>
      <c r="P24" s="54" t="s">
        <v>89</v>
      </c>
    </row>
    <row r="25" spans="1:16" ht="12.75" customHeight="1" thickBot="1" x14ac:dyDescent="0.25">
      <c r="A25" s="43" t="str">
        <f t="shared" si="0"/>
        <v>BAVM 212 </v>
      </c>
      <c r="B25" s="3" t="str">
        <f t="shared" si="1"/>
        <v>I</v>
      </c>
      <c r="C25" s="43">
        <f t="shared" si="2"/>
        <v>55097.504099999998</v>
      </c>
      <c r="D25" s="8" t="str">
        <f t="shared" si="3"/>
        <v>vis</v>
      </c>
      <c r="E25" s="51">
        <f>VLOOKUP(C25,Active!C$21:E$973,3,FALSE)</f>
        <v>12258.978478211839</v>
      </c>
      <c r="F25" s="3" t="s">
        <v>59</v>
      </c>
      <c r="G25" s="8" t="str">
        <f t="shared" si="4"/>
        <v>55097.5041</v>
      </c>
      <c r="H25" s="43">
        <f t="shared" si="5"/>
        <v>12259</v>
      </c>
      <c r="I25" s="52" t="s">
        <v>120</v>
      </c>
      <c r="J25" s="53" t="s">
        <v>121</v>
      </c>
      <c r="K25" s="52" t="s">
        <v>122</v>
      </c>
      <c r="L25" s="52" t="s">
        <v>123</v>
      </c>
      <c r="M25" s="53" t="s">
        <v>116</v>
      </c>
      <c r="N25" s="53" t="s">
        <v>117</v>
      </c>
      <c r="O25" s="54" t="s">
        <v>124</v>
      </c>
      <c r="P25" s="55" t="s">
        <v>125</v>
      </c>
    </row>
    <row r="26" spans="1:16" ht="12.75" customHeight="1" thickBot="1" x14ac:dyDescent="0.25">
      <c r="A26" s="43" t="str">
        <f t="shared" si="0"/>
        <v>BAVM 225 </v>
      </c>
      <c r="B26" s="3" t="str">
        <f t="shared" si="1"/>
        <v>I</v>
      </c>
      <c r="C26" s="43">
        <f t="shared" si="2"/>
        <v>55815.476300000002</v>
      </c>
      <c r="D26" s="8" t="str">
        <f t="shared" si="3"/>
        <v>vis</v>
      </c>
      <c r="E26" s="51">
        <f>VLOOKUP(C26,Active!C$21:E$973,3,FALSE)</f>
        <v>12607.972190248798</v>
      </c>
      <c r="F26" s="3" t="s">
        <v>59</v>
      </c>
      <c r="G26" s="8" t="str">
        <f t="shared" si="4"/>
        <v>55815.4763</v>
      </c>
      <c r="H26" s="43">
        <f t="shared" si="5"/>
        <v>12608</v>
      </c>
      <c r="I26" s="52" t="s">
        <v>131</v>
      </c>
      <c r="J26" s="53" t="s">
        <v>132</v>
      </c>
      <c r="K26" s="52" t="s">
        <v>133</v>
      </c>
      <c r="L26" s="52" t="s">
        <v>134</v>
      </c>
      <c r="M26" s="53" t="s">
        <v>116</v>
      </c>
      <c r="N26" s="53" t="s">
        <v>117</v>
      </c>
      <c r="O26" s="54" t="s">
        <v>124</v>
      </c>
      <c r="P26" s="55" t="s">
        <v>135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</sheetData>
  <phoneticPr fontId="6" type="noConversion"/>
  <hyperlinks>
    <hyperlink ref="P18" r:id="rId1" display="http://var.astro.cz/oejv/issues/oejv0003.pdf"/>
    <hyperlink ref="P19" r:id="rId2" display="http://www.konkoly.hu/cgi-bin/IBVS?5653"/>
    <hyperlink ref="P20" r:id="rId3" display="http://var.astro.cz/oejv/issues/oejv0003.pdf"/>
    <hyperlink ref="P21" r:id="rId4" display="http://www.bav-astro.de/sfs/BAVM_link.php?BAVMnr=178"/>
    <hyperlink ref="P25" r:id="rId5" display="http://www.bav-astro.de/sfs/BAVM_link.php?BAVMnr=212"/>
    <hyperlink ref="P22" r:id="rId6" display="http://www.konkoly.hu/cgi-bin/IBVS?5960"/>
    <hyperlink ref="P26" r:id="rId7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2024-01-19T05:54:20Z</dcterms:modified>
</cp:coreProperties>
</file>