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6FCA00C-7801-460C-9611-753686136A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" i="1" l="1"/>
  <c r="F28" i="1"/>
  <c r="E36" i="1"/>
  <c r="F36" i="1"/>
  <c r="E44" i="1"/>
  <c r="F44" i="1"/>
  <c r="E52" i="1"/>
  <c r="F52" i="1"/>
  <c r="E60" i="1"/>
  <c r="F60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8" i="1"/>
  <c r="Q59" i="1"/>
  <c r="Q62" i="1"/>
  <c r="G13" i="2"/>
  <c r="C13" i="2"/>
  <c r="G52" i="2"/>
  <c r="C52" i="2"/>
  <c r="G12" i="2"/>
  <c r="C12" i="2"/>
  <c r="G11" i="2"/>
  <c r="C11" i="2"/>
  <c r="E11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E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E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13" i="2"/>
  <c r="B13" i="2"/>
  <c r="D13" i="2"/>
  <c r="A13" i="2"/>
  <c r="H52" i="2"/>
  <c r="D52" i="2"/>
  <c r="B52" i="2"/>
  <c r="A52" i="2"/>
  <c r="H12" i="2"/>
  <c r="B12" i="2"/>
  <c r="D12" i="2"/>
  <c r="A12" i="2"/>
  <c r="H11" i="2"/>
  <c r="D11" i="2"/>
  <c r="B11" i="2"/>
  <c r="A11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Q63" i="1"/>
  <c r="F17" i="1"/>
  <c r="C17" i="1"/>
  <c r="Q60" i="1"/>
  <c r="Q61" i="1"/>
  <c r="C7" i="1"/>
  <c r="E26" i="1"/>
  <c r="F26" i="1"/>
  <c r="C8" i="1"/>
  <c r="Q57" i="1"/>
  <c r="E19" i="2"/>
  <c r="E15" i="2"/>
  <c r="E39" i="2"/>
  <c r="E25" i="2"/>
  <c r="E40" i="2"/>
  <c r="E47" i="2"/>
  <c r="E63" i="1"/>
  <c r="F63" i="1"/>
  <c r="E55" i="1"/>
  <c r="F55" i="1"/>
  <c r="E47" i="1"/>
  <c r="F47" i="1"/>
  <c r="E39" i="1"/>
  <c r="F39" i="1"/>
  <c r="E31" i="1"/>
  <c r="F31" i="1"/>
  <c r="E23" i="1"/>
  <c r="F23" i="1"/>
  <c r="E58" i="1"/>
  <c r="F58" i="1"/>
  <c r="G58" i="1"/>
  <c r="H58" i="1"/>
  <c r="E49" i="1"/>
  <c r="F49" i="1"/>
  <c r="G49" i="1"/>
  <c r="H49" i="1"/>
  <c r="E41" i="1"/>
  <c r="F41" i="1"/>
  <c r="G41" i="1"/>
  <c r="H41" i="1"/>
  <c r="G35" i="1"/>
  <c r="H35" i="1"/>
  <c r="E33" i="1"/>
  <c r="F33" i="1"/>
  <c r="G33" i="1"/>
  <c r="H33" i="1"/>
  <c r="E25" i="1"/>
  <c r="F25" i="1"/>
  <c r="G25" i="1"/>
  <c r="H25" i="1"/>
  <c r="E22" i="1"/>
  <c r="F22" i="1"/>
  <c r="G22" i="1"/>
  <c r="H22" i="1"/>
  <c r="E57" i="1"/>
  <c r="F57" i="1"/>
  <c r="G57" i="1"/>
  <c r="H57" i="1"/>
  <c r="E54" i="1"/>
  <c r="F54" i="1"/>
  <c r="G54" i="1"/>
  <c r="H54" i="1"/>
  <c r="E46" i="1"/>
  <c r="F46" i="1"/>
  <c r="G46" i="1"/>
  <c r="H46" i="1"/>
  <c r="E38" i="1"/>
  <c r="F38" i="1"/>
  <c r="G38" i="1"/>
  <c r="H38" i="1"/>
  <c r="E30" i="1"/>
  <c r="F30" i="1"/>
  <c r="G30" i="1"/>
  <c r="H30" i="1"/>
  <c r="G61" i="1"/>
  <c r="I61" i="1"/>
  <c r="E62" i="1"/>
  <c r="F62" i="1"/>
  <c r="G62" i="1"/>
  <c r="K62" i="1"/>
  <c r="E51" i="1"/>
  <c r="F51" i="1"/>
  <c r="G51" i="1"/>
  <c r="H51" i="1"/>
  <c r="G45" i="1"/>
  <c r="H45" i="1"/>
  <c r="E43" i="1"/>
  <c r="F43" i="1"/>
  <c r="G43" i="1"/>
  <c r="H43" i="1"/>
  <c r="G37" i="1"/>
  <c r="H37" i="1"/>
  <c r="E35" i="1"/>
  <c r="F35" i="1"/>
  <c r="G29" i="1"/>
  <c r="H29" i="1"/>
  <c r="E27" i="1"/>
  <c r="F27" i="1"/>
  <c r="G27" i="1"/>
  <c r="H27" i="1"/>
  <c r="E56" i="1"/>
  <c r="F56" i="1"/>
  <c r="G56" i="1"/>
  <c r="H56" i="1"/>
  <c r="E48" i="1"/>
  <c r="F48" i="1"/>
  <c r="G48" i="1"/>
  <c r="H48" i="1"/>
  <c r="E40" i="1"/>
  <c r="F40" i="1"/>
  <c r="G40" i="1"/>
  <c r="H40" i="1"/>
  <c r="E32" i="1"/>
  <c r="F32" i="1"/>
  <c r="G32" i="1"/>
  <c r="H32" i="1"/>
  <c r="G26" i="1"/>
  <c r="H26" i="1"/>
  <c r="E24" i="1"/>
  <c r="F24" i="1"/>
  <c r="G24" i="1"/>
  <c r="H24" i="1"/>
  <c r="E21" i="1"/>
  <c r="F21" i="1"/>
  <c r="G21" i="1"/>
  <c r="G63" i="1"/>
  <c r="K63" i="1"/>
  <c r="E61" i="1"/>
  <c r="F61" i="1"/>
  <c r="G55" i="1"/>
  <c r="H55" i="1"/>
  <c r="E53" i="1"/>
  <c r="F53" i="1"/>
  <c r="G53" i="1"/>
  <c r="H53" i="1"/>
  <c r="G47" i="1"/>
  <c r="H47" i="1"/>
  <c r="E45" i="1"/>
  <c r="F45" i="1"/>
  <c r="G39" i="1"/>
  <c r="H39" i="1"/>
  <c r="E37" i="1"/>
  <c r="F37" i="1"/>
  <c r="G31" i="1"/>
  <c r="H31" i="1"/>
  <c r="E29" i="1"/>
  <c r="F29" i="1"/>
  <c r="G23" i="1"/>
  <c r="H23" i="1"/>
  <c r="G60" i="1"/>
  <c r="I60" i="1"/>
  <c r="E59" i="1"/>
  <c r="F59" i="1"/>
  <c r="G59" i="1"/>
  <c r="H59" i="1"/>
  <c r="G52" i="1"/>
  <c r="H52" i="1"/>
  <c r="E50" i="1"/>
  <c r="F50" i="1"/>
  <c r="G50" i="1"/>
  <c r="H50" i="1"/>
  <c r="G44" i="1"/>
  <c r="H44" i="1"/>
  <c r="E42" i="1"/>
  <c r="F42" i="1"/>
  <c r="G42" i="1"/>
  <c r="H42" i="1"/>
  <c r="G36" i="1"/>
  <c r="H36" i="1"/>
  <c r="E34" i="1"/>
  <c r="F34" i="1"/>
  <c r="G34" i="1"/>
  <c r="H34" i="1"/>
  <c r="G28" i="1"/>
  <c r="H28" i="1"/>
  <c r="H21" i="1"/>
  <c r="E12" i="2"/>
  <c r="E23" i="2"/>
  <c r="E50" i="2"/>
  <c r="E26" i="2"/>
  <c r="E52" i="2"/>
  <c r="E35" i="2"/>
  <c r="E51" i="2"/>
  <c r="E27" i="2"/>
  <c r="E13" i="2"/>
  <c r="E41" i="2"/>
  <c r="E30" i="2"/>
  <c r="E46" i="2"/>
  <c r="E22" i="2"/>
  <c r="E48" i="2"/>
  <c r="E36" i="2"/>
  <c r="E17" i="2"/>
  <c r="E33" i="2"/>
  <c r="E42" i="2"/>
  <c r="E24" i="2"/>
  <c r="E20" i="2"/>
  <c r="E28" i="2"/>
  <c r="E49" i="2"/>
  <c r="E31" i="2"/>
  <c r="E18" i="2"/>
  <c r="E16" i="2"/>
  <c r="E44" i="2"/>
  <c r="E38" i="2"/>
  <c r="E34" i="2"/>
  <c r="E43" i="2"/>
  <c r="E32" i="2"/>
  <c r="E14" i="2"/>
  <c r="C12" i="1"/>
  <c r="C11" i="1"/>
  <c r="O51" i="1" l="1"/>
  <c r="O54" i="1"/>
  <c r="O29" i="1"/>
  <c r="O31" i="1"/>
  <c r="O50" i="1"/>
  <c r="C15" i="1"/>
  <c r="O41" i="1"/>
  <c r="O55" i="1"/>
  <c r="O22" i="1"/>
  <c r="O21" i="1"/>
  <c r="O62" i="1"/>
  <c r="O25" i="1"/>
  <c r="O28" i="1"/>
  <c r="O39" i="1"/>
  <c r="O59" i="1"/>
  <c r="O44" i="1"/>
  <c r="O52" i="1"/>
  <c r="O40" i="1"/>
  <c r="O57" i="1"/>
  <c r="O63" i="1"/>
  <c r="O33" i="1"/>
  <c r="O36" i="1"/>
  <c r="O47" i="1"/>
  <c r="O24" i="1"/>
  <c r="O37" i="1"/>
  <c r="O32" i="1"/>
  <c r="O49" i="1"/>
  <c r="O30" i="1"/>
  <c r="O48" i="1"/>
  <c r="O60" i="1"/>
  <c r="O56" i="1"/>
  <c r="O58" i="1"/>
  <c r="O38" i="1"/>
  <c r="O34" i="1"/>
  <c r="O43" i="1"/>
  <c r="O46" i="1"/>
  <c r="O61" i="1"/>
  <c r="O23" i="1"/>
  <c r="O42" i="1"/>
  <c r="O53" i="1"/>
  <c r="O27" i="1"/>
  <c r="O26" i="1"/>
  <c r="O35" i="1"/>
  <c r="O4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<sst xmlns="http://schemas.openxmlformats.org/spreadsheetml/2006/main" count="475" uniqueCount="191">
  <si>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</si>
  <si>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</si>
  <si>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</si>
  <si>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</si>
  <si>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</si>
  <si>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</si>
  <si>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</si>
  <si>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</si>
  <si>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</si>
  <si>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</si>
  <si>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</si>
  <si>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</si>
  <si>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</si>
  <si>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</si>
  <si>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</si>
  <si>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</si>
  <si>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</si>
  <si>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</si>
  <si>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</si>
  <si>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</si>
  <si>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</si>
  <si>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</si>
  <si>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</si>
  <si>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</si>
  <si>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</si>
  <si>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</si>
  <si>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</si>
  <si>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</si>
  <si>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</si>
  <si>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Bull.68</t>
  </si>
  <si>
    <t>B</t>
  </si>
  <si>
    <t>BBSAG Bull.90</t>
  </si>
  <si>
    <t># of data points: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</si>
  <si>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</si>
  <si>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</si>
  <si>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</si>
  <si>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</si>
  <si>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</si>
  <si>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</si>
  <si>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</si>
  <si>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</si>
  <si>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</si>
  <si>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</si>
  <si>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</si>
  <si>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</si>
  <si>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</si>
  <si>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</si>
  <si>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</si>
  <si>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</si>
  <si>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</si>
  <si>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</si>
  <si>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</si>
  <si>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2416730.408 </t>
  </si>
  <si>
    <t> 06.09.1904 21:47 </t>
  </si>
  <si>
    <t> -0.585 </t>
  </si>
  <si>
    <t>P </t>
  </si>
  <si>
    <t> S.Y.Shugarov </t>
  </si>
  <si>
    <t> PZP 3.710 </t>
  </si>
  <si>
    <t>2417793.438 </t>
  </si>
  <si>
    <t> 05.08.1907 22:30 </t>
  </si>
  <si>
    <t> -0.592 </t>
  </si>
  <si>
    <t>2428068.288 </t>
  </si>
  <si>
    <t> 22.09.1935 18:54 </t>
  </si>
  <si>
    <t> -0.077 </t>
  </si>
  <si>
    <t>2435347.530 </t>
  </si>
  <si>
    <t> 28.08.1955 00:43 </t>
  </si>
  <si>
    <t> -0.106 </t>
  </si>
  <si>
    <t>2436866.354 </t>
  </si>
  <si>
    <t> 24.10.1959 20:29 </t>
  </si>
  <si>
    <t> 0.094 </t>
  </si>
  <si>
    <t>2436920.184 </t>
  </si>
  <si>
    <t> 17.12.1959 16:24 </t>
  </si>
  <si>
    <t> -0.071 </t>
  </si>
  <si>
    <t>2437193.445 </t>
  </si>
  <si>
    <t> 15.09.1960 22:40 </t>
  </si>
  <si>
    <t> -0.163 </t>
  </si>
  <si>
    <t>2437193.469 </t>
  </si>
  <si>
    <t> 15.09.1960 23:15 </t>
  </si>
  <si>
    <t> -0.139 </t>
  </si>
  <si>
    <t>2437561.442 </t>
  </si>
  <si>
    <t> 18.09.1961 22:36 </t>
  </si>
  <si>
    <t> -0.010 </t>
  </si>
  <si>
    <t>2437561.467 </t>
  </si>
  <si>
    <t> 18.09.1961 23:12 </t>
  </si>
  <si>
    <t> 0.015 </t>
  </si>
  <si>
    <t>2437578.382 </t>
  </si>
  <si>
    <t> 05.10.1961 21:10 </t>
  </si>
  <si>
    <t> 0.056 </t>
  </si>
  <si>
    <t>2437578.410 </t>
  </si>
  <si>
    <t> 05.10.1961 21:50 </t>
  </si>
  <si>
    <t> 0.084 </t>
  </si>
  <si>
    <t>2437605.354 </t>
  </si>
  <si>
    <t> 01.11.1961 20:29 </t>
  </si>
  <si>
    <t> 0.030 </t>
  </si>
  <si>
    <t>2437905.511 </t>
  </si>
  <si>
    <t> 29.08.1962 00:15 </t>
  </si>
  <si>
    <t>2437912.463 </t>
  </si>
  <si>
    <t> 04.09.1962 23:06 </t>
  </si>
  <si>
    <t> 0.040 </t>
  </si>
  <si>
    <t>2437939.364 </t>
  </si>
  <si>
    <t> 01.10.1962 20:44 </t>
  </si>
  <si>
    <t> -0.057 </t>
  </si>
  <si>
    <t>2437939.400 </t>
  </si>
  <si>
    <t> 01.10.1962 21:36 </t>
  </si>
  <si>
    <t> -0.021 </t>
  </si>
  <si>
    <t>2438263.538 </t>
  </si>
  <si>
    <t> 22.08.1963 00:54 </t>
  </si>
  <si>
    <t> 0.144 </t>
  </si>
  <si>
    <t>2438290.440 </t>
  </si>
  <si>
    <t> 17.09.1963 22:33 </t>
  </si>
  <si>
    <t> 0.048 </t>
  </si>
  <si>
    <t>2438290.467 </t>
  </si>
  <si>
    <t> 17.09.1963 23:12 </t>
  </si>
  <si>
    <t> 0.075 </t>
  </si>
  <si>
    <t>2438300.439 </t>
  </si>
  <si>
    <t> 27.09.1963 22:32 </t>
  </si>
  <si>
    <t>2438300.462 </t>
  </si>
  <si>
    <t> 27.09.1963 23:05 </t>
  </si>
  <si>
    <t> -0.054 </t>
  </si>
  <si>
    <t>2438641.478 </t>
  </si>
  <si>
    <t> 02.09.1964 23:28 </t>
  </si>
  <si>
    <t> 0.115 </t>
  </si>
  <si>
    <t>2438641.502 </t>
  </si>
  <si>
    <t> 03.09.1964 00:02 </t>
  </si>
  <si>
    <t> 0.139 </t>
  </si>
  <si>
    <t>2438651.479 </t>
  </si>
  <si>
    <t> 12.09.1964 23:29 </t>
  </si>
  <si>
    <t> -0.008 </t>
  </si>
  <si>
    <t>2438651.570 </t>
  </si>
  <si>
    <t> 13.09.1964 01:40 </t>
  </si>
  <si>
    <t> 0.083 </t>
  </si>
  <si>
    <t>2439029.401 </t>
  </si>
  <si>
    <t> 25.09.1965 21:37 </t>
  </si>
  <si>
    <t>2439029.425 </t>
  </si>
  <si>
    <t> 25.09.1965 22:12 </t>
  </si>
  <si>
    <t> -0.030 </t>
  </si>
  <si>
    <t>2440453.491 </t>
  </si>
  <si>
    <t> 19.08.1969 23:47 </t>
  </si>
  <si>
    <t> -0.096 </t>
  </si>
  <si>
    <t>2442657.442 </t>
  </si>
  <si>
    <t> 01.09.1975 22:36 </t>
  </si>
  <si>
    <t> 0.163 </t>
  </si>
  <si>
    <t>2442657.467 </t>
  </si>
  <si>
    <t> 01.09.1975 23:12 </t>
  </si>
  <si>
    <t> 0.188 </t>
  </si>
  <si>
    <t>2442731.335 </t>
  </si>
  <si>
    <t> 14.11.1975 20:02 </t>
  </si>
  <si>
    <t> -0.188 </t>
  </si>
  <si>
    <t>2442731.359 </t>
  </si>
  <si>
    <t> 14.11.1975 20:36 </t>
  </si>
  <si>
    <t> -0.164 </t>
  </si>
  <si>
    <t>2442802.292 </t>
  </si>
  <si>
    <t> 24.01.1976 19:00 </t>
  </si>
  <si>
    <t> -0.100 </t>
  </si>
  <si>
    <t>2442819.197 </t>
  </si>
  <si>
    <t> 10.02.1976 16:43 </t>
  </si>
  <si>
    <t> -0.069 </t>
  </si>
  <si>
    <t>2442819.226 </t>
  </si>
  <si>
    <t> 10.02.1976 17:25 </t>
  </si>
  <si>
    <t> -0.040 </t>
  </si>
  <si>
    <t>2442819.283 </t>
  </si>
  <si>
    <t> 10.02.1976 18:47 </t>
  </si>
  <si>
    <t> 0.017 </t>
  </si>
  <si>
    <t>2442826.221 </t>
  </si>
  <si>
    <t> 17.02.1976 17:18 </t>
  </si>
  <si>
    <t> 0.206 </t>
  </si>
  <si>
    <t>2445559.589 </t>
  </si>
  <si>
    <t> 13.08.1983 02:08 </t>
  </si>
  <si>
    <t> 0.050 </t>
  </si>
  <si>
    <t>V </t>
  </si>
  <si>
    <t> K.Locher </t>
  </si>
  <si>
    <t> BBS 68 </t>
  </si>
  <si>
    <t>2447449.371 </t>
  </si>
  <si>
    <t> 14.10.1988 20:54 </t>
  </si>
  <si>
    <t> -0.011 </t>
  </si>
  <si>
    <t> BBS 90 </t>
  </si>
  <si>
    <t>2455794.6022 </t>
  </si>
  <si>
    <t> 21.08.2011 02:27 </t>
  </si>
  <si>
    <t> -0.4622 </t>
  </si>
  <si>
    <t>C </t>
  </si>
  <si>
    <t>-I</t>
  </si>
  <si>
    <t> F.Agerer </t>
  </si>
  <si>
    <t>BAVM 225 </t>
  </si>
  <si>
    <t>2456965.5377 </t>
  </si>
  <si>
    <t> 04.11.2014 00:54 </t>
  </si>
  <si>
    <t>4192</t>
  </si>
  <si>
    <t> -0.5545 </t>
  </si>
  <si>
    <t>BAVM 239 </t>
  </si>
  <si>
    <t>II</t>
  </si>
  <si>
    <t>I</t>
  </si>
  <si>
    <t>V0544 Cas / gsc 3255-1634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</si>
</sst>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3" borderId="0" xfId="0" applyFont="1" applyFill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V0544 Cas - O-C Diagr.</a:t>
            </a:r>
          </a:p>
        </c:rich>
      </c:tx>
      <c:layout>
        <c:manualLayout>
          <c:xMode val="edge"/>
          <c:yMode val="edge"/>
          <c:x val="0.326446714821804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0661934503662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-7731</c:v>
                </c:pt>
                <c:pt idx="1">
                  <c:v>-7416</c:v>
                </c:pt>
                <c:pt idx="2">
                  <c:v>-4371</c:v>
                </c:pt>
                <c:pt idx="3">
                  <c:v>-2214</c:v>
                </c:pt>
                <c:pt idx="4">
                  <c:v>-1764</c:v>
                </c:pt>
                <c:pt idx="5">
                  <c:v>-1748</c:v>
                </c:pt>
                <c:pt idx="6">
                  <c:v>-1667</c:v>
                </c:pt>
                <c:pt idx="7">
                  <c:v>-1667</c:v>
                </c:pt>
                <c:pt idx="8">
                  <c:v>-1558</c:v>
                </c:pt>
                <c:pt idx="9">
                  <c:v>-1558</c:v>
                </c:pt>
                <c:pt idx="10">
                  <c:v>-1553</c:v>
                </c:pt>
                <c:pt idx="11">
                  <c:v>-1553</c:v>
                </c:pt>
                <c:pt idx="12">
                  <c:v>-1545</c:v>
                </c:pt>
                <c:pt idx="13">
                  <c:v>-1456</c:v>
                </c:pt>
                <c:pt idx="14">
                  <c:v>-1454</c:v>
                </c:pt>
                <c:pt idx="15">
                  <c:v>-1446</c:v>
                </c:pt>
                <c:pt idx="16">
                  <c:v>-1446</c:v>
                </c:pt>
                <c:pt idx="17">
                  <c:v>-1350</c:v>
                </c:pt>
                <c:pt idx="18">
                  <c:v>-1342</c:v>
                </c:pt>
                <c:pt idx="19">
                  <c:v>-1342</c:v>
                </c:pt>
                <c:pt idx="20">
                  <c:v>-1339</c:v>
                </c:pt>
                <c:pt idx="21">
                  <c:v>-1339</c:v>
                </c:pt>
                <c:pt idx="22">
                  <c:v>-1238</c:v>
                </c:pt>
                <c:pt idx="23">
                  <c:v>-1238</c:v>
                </c:pt>
                <c:pt idx="24">
                  <c:v>-1235</c:v>
                </c:pt>
                <c:pt idx="25">
                  <c:v>-1235</c:v>
                </c:pt>
                <c:pt idx="26">
                  <c:v>-1123</c:v>
                </c:pt>
                <c:pt idx="27">
                  <c:v>-1123</c:v>
                </c:pt>
                <c:pt idx="28">
                  <c:v>-701</c:v>
                </c:pt>
                <c:pt idx="29">
                  <c:v>-48</c:v>
                </c:pt>
                <c:pt idx="30">
                  <c:v>-48</c:v>
                </c:pt>
                <c:pt idx="31">
                  <c:v>-26</c:v>
                </c:pt>
                <c:pt idx="32">
                  <c:v>-26</c:v>
                </c:pt>
                <c:pt idx="33">
                  <c:v>-5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812</c:v>
                </c:pt>
                <c:pt idx="40">
                  <c:v>1372</c:v>
                </c:pt>
                <c:pt idx="41">
                  <c:v>3845</c:v>
                </c:pt>
                <c:pt idx="42">
                  <c:v>4192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1.1023199999945064</c:v>
                </c:pt>
                <c:pt idx="1">
                  <c:v>1.0955199999953038</c:v>
                </c:pt>
                <c:pt idx="2">
                  <c:v>-7.6880000000528526E-2</c:v>
                </c:pt>
                <c:pt idx="3">
                  <c:v>-0.10592000000178814</c:v>
                </c:pt>
                <c:pt idx="4">
                  <c:v>9.4079999995301478E-2</c:v>
                </c:pt>
                <c:pt idx="5">
                  <c:v>-7.143999999971129E-2</c:v>
                </c:pt>
                <c:pt idx="6">
                  <c:v>-0.16276000000652857</c:v>
                </c:pt>
                <c:pt idx="7">
                  <c:v>-0.13876000000891509</c:v>
                </c:pt>
                <c:pt idx="8">
                  <c:v>-1.0240000003250316E-2</c:v>
                </c:pt>
                <c:pt idx="9">
                  <c:v>1.4759999990928918E-2</c:v>
                </c:pt>
                <c:pt idx="10">
                  <c:v>5.6159999992814846E-2</c:v>
                </c:pt>
                <c:pt idx="11">
                  <c:v>8.4159999998519197E-2</c:v>
                </c:pt>
                <c:pt idx="12">
                  <c:v>3.0399999996006954E-2</c:v>
                </c:pt>
                <c:pt idx="13">
                  <c:v>-0.16268000000854954</c:v>
                </c:pt>
                <c:pt idx="14">
                  <c:v>3.9879999996628612E-2</c:v>
                </c:pt>
                <c:pt idx="15">
                  <c:v>-5.6880000003729947E-2</c:v>
                </c:pt>
                <c:pt idx="16">
                  <c:v>-2.0880000003671739E-2</c:v>
                </c:pt>
                <c:pt idx="17">
                  <c:v>0.14400000000023283</c:v>
                </c:pt>
                <c:pt idx="18">
                  <c:v>4.8239999996440019E-2</c:v>
                </c:pt>
                <c:pt idx="19">
                  <c:v>7.5239999991026707E-2</c:v>
                </c:pt>
                <c:pt idx="20">
                  <c:v>-7.6920000006793998E-2</c:v>
                </c:pt>
                <c:pt idx="21">
                  <c:v>-5.392000000574626E-2</c:v>
                </c:pt>
                <c:pt idx="22">
                  <c:v>0.11535999999614432</c:v>
                </c:pt>
                <c:pt idx="23">
                  <c:v>0.13935999999375781</c:v>
                </c:pt>
                <c:pt idx="24">
                  <c:v>-7.8000000066822395E-3</c:v>
                </c:pt>
                <c:pt idx="25">
                  <c:v>8.3199999993667006E-2</c:v>
                </c:pt>
                <c:pt idx="26">
                  <c:v>-5.4440000007161871E-2</c:v>
                </c:pt>
                <c:pt idx="27">
                  <c:v>-3.0440000002272427E-2</c:v>
                </c:pt>
                <c:pt idx="28">
                  <c:v>-9.6280000005208421E-2</c:v>
                </c:pt>
                <c:pt idx="29">
                  <c:v>0.16255999999702908</c:v>
                </c:pt>
                <c:pt idx="30">
                  <c:v>0.18755999999120831</c:v>
                </c:pt>
                <c:pt idx="31">
                  <c:v>-0.18828000000212342</c:v>
                </c:pt>
                <c:pt idx="32">
                  <c:v>-0.16428000000450993</c:v>
                </c:pt>
                <c:pt idx="33">
                  <c:v>-0.10040000000299187</c:v>
                </c:pt>
                <c:pt idx="34">
                  <c:v>-6.9000000003143214E-2</c:v>
                </c:pt>
                <c:pt idx="35">
                  <c:v>-4.0000000000873115E-2</c:v>
                </c:pt>
                <c:pt idx="36">
                  <c:v>0</c:v>
                </c:pt>
                <c:pt idx="37">
                  <c:v>1.6999999999825377E-2</c:v>
                </c:pt>
                <c:pt idx="38">
                  <c:v>0.2055599999948754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BF-4D96-A21D-491C73F7F3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1.0999999999999999E-2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1.0999999999999999E-2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-7731</c:v>
                </c:pt>
                <c:pt idx="1">
                  <c:v>-7416</c:v>
                </c:pt>
                <c:pt idx="2">
                  <c:v>-4371</c:v>
                </c:pt>
                <c:pt idx="3">
                  <c:v>-2214</c:v>
                </c:pt>
                <c:pt idx="4">
                  <c:v>-1764</c:v>
                </c:pt>
                <c:pt idx="5">
                  <c:v>-1748</c:v>
                </c:pt>
                <c:pt idx="6">
                  <c:v>-1667</c:v>
                </c:pt>
                <c:pt idx="7">
                  <c:v>-1667</c:v>
                </c:pt>
                <c:pt idx="8">
                  <c:v>-1558</c:v>
                </c:pt>
                <c:pt idx="9">
                  <c:v>-1558</c:v>
                </c:pt>
                <c:pt idx="10">
                  <c:v>-1553</c:v>
                </c:pt>
                <c:pt idx="11">
                  <c:v>-1553</c:v>
                </c:pt>
                <c:pt idx="12">
                  <c:v>-1545</c:v>
                </c:pt>
                <c:pt idx="13">
                  <c:v>-1456</c:v>
                </c:pt>
                <c:pt idx="14">
                  <c:v>-1454</c:v>
                </c:pt>
                <c:pt idx="15">
                  <c:v>-1446</c:v>
                </c:pt>
                <c:pt idx="16">
                  <c:v>-1446</c:v>
                </c:pt>
                <c:pt idx="17">
                  <c:v>-1350</c:v>
                </c:pt>
                <c:pt idx="18">
                  <c:v>-1342</c:v>
                </c:pt>
                <c:pt idx="19">
                  <c:v>-1342</c:v>
                </c:pt>
                <c:pt idx="20">
                  <c:v>-1339</c:v>
                </c:pt>
                <c:pt idx="21">
                  <c:v>-1339</c:v>
                </c:pt>
                <c:pt idx="22">
                  <c:v>-1238</c:v>
                </c:pt>
                <c:pt idx="23">
                  <c:v>-1238</c:v>
                </c:pt>
                <c:pt idx="24">
                  <c:v>-1235</c:v>
                </c:pt>
                <c:pt idx="25">
                  <c:v>-1235</c:v>
                </c:pt>
                <c:pt idx="26">
                  <c:v>-1123</c:v>
                </c:pt>
                <c:pt idx="27">
                  <c:v>-1123</c:v>
                </c:pt>
                <c:pt idx="28">
                  <c:v>-701</c:v>
                </c:pt>
                <c:pt idx="29">
                  <c:v>-48</c:v>
                </c:pt>
                <c:pt idx="30">
                  <c:v>-48</c:v>
                </c:pt>
                <c:pt idx="31">
                  <c:v>-26</c:v>
                </c:pt>
                <c:pt idx="32">
                  <c:v>-26</c:v>
                </c:pt>
                <c:pt idx="33">
                  <c:v>-5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812</c:v>
                </c:pt>
                <c:pt idx="40">
                  <c:v>1372</c:v>
                </c:pt>
                <c:pt idx="41">
                  <c:v>3845</c:v>
                </c:pt>
                <c:pt idx="42">
                  <c:v>4192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9">
                  <c:v>5.0359999993816018E-2</c:v>
                </c:pt>
                <c:pt idx="40">
                  <c:v>-1.0840000002644956E-2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BF-4D96-A21D-491C73F7F3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-7731</c:v>
                </c:pt>
                <c:pt idx="1">
                  <c:v>-7416</c:v>
                </c:pt>
                <c:pt idx="2">
                  <c:v>-4371</c:v>
                </c:pt>
                <c:pt idx="3">
                  <c:v>-2214</c:v>
                </c:pt>
                <c:pt idx="4">
                  <c:v>-1764</c:v>
                </c:pt>
                <c:pt idx="5">
                  <c:v>-1748</c:v>
                </c:pt>
                <c:pt idx="6">
                  <c:v>-1667</c:v>
                </c:pt>
                <c:pt idx="7">
                  <c:v>-1667</c:v>
                </c:pt>
                <c:pt idx="8">
                  <c:v>-1558</c:v>
                </c:pt>
                <c:pt idx="9">
                  <c:v>-1558</c:v>
                </c:pt>
                <c:pt idx="10">
                  <c:v>-1553</c:v>
                </c:pt>
                <c:pt idx="11">
                  <c:v>-1553</c:v>
                </c:pt>
                <c:pt idx="12">
                  <c:v>-1545</c:v>
                </c:pt>
                <c:pt idx="13">
                  <c:v>-1456</c:v>
                </c:pt>
                <c:pt idx="14">
                  <c:v>-1454</c:v>
                </c:pt>
                <c:pt idx="15">
                  <c:v>-1446</c:v>
                </c:pt>
                <c:pt idx="16">
                  <c:v>-1446</c:v>
                </c:pt>
                <c:pt idx="17">
                  <c:v>-1350</c:v>
                </c:pt>
                <c:pt idx="18">
                  <c:v>-1342</c:v>
                </c:pt>
                <c:pt idx="19">
                  <c:v>-1342</c:v>
                </c:pt>
                <c:pt idx="20">
                  <c:v>-1339</c:v>
                </c:pt>
                <c:pt idx="21">
                  <c:v>-1339</c:v>
                </c:pt>
                <c:pt idx="22">
                  <c:v>-1238</c:v>
                </c:pt>
                <c:pt idx="23">
                  <c:v>-1238</c:v>
                </c:pt>
                <c:pt idx="24">
                  <c:v>-1235</c:v>
                </c:pt>
                <c:pt idx="25">
                  <c:v>-1235</c:v>
                </c:pt>
                <c:pt idx="26">
                  <c:v>-1123</c:v>
                </c:pt>
                <c:pt idx="27">
                  <c:v>-1123</c:v>
                </c:pt>
                <c:pt idx="28">
                  <c:v>-701</c:v>
                </c:pt>
                <c:pt idx="29">
                  <c:v>-48</c:v>
                </c:pt>
                <c:pt idx="30">
                  <c:v>-48</c:v>
                </c:pt>
                <c:pt idx="31">
                  <c:v>-26</c:v>
                </c:pt>
                <c:pt idx="32">
                  <c:v>-26</c:v>
                </c:pt>
                <c:pt idx="33">
                  <c:v>-5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812</c:v>
                </c:pt>
                <c:pt idx="40">
                  <c:v>1372</c:v>
                </c:pt>
                <c:pt idx="41">
                  <c:v>3845</c:v>
                </c:pt>
                <c:pt idx="42">
                  <c:v>4192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BF-4D96-A21D-491C73F7F3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1.0999999999999999E-2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1.0999999999999999E-2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-7731</c:v>
                </c:pt>
                <c:pt idx="1">
                  <c:v>-7416</c:v>
                </c:pt>
                <c:pt idx="2">
                  <c:v>-4371</c:v>
                </c:pt>
                <c:pt idx="3">
                  <c:v>-2214</c:v>
                </c:pt>
                <c:pt idx="4">
                  <c:v>-1764</c:v>
                </c:pt>
                <c:pt idx="5">
                  <c:v>-1748</c:v>
                </c:pt>
                <c:pt idx="6">
                  <c:v>-1667</c:v>
                </c:pt>
                <c:pt idx="7">
                  <c:v>-1667</c:v>
                </c:pt>
                <c:pt idx="8">
                  <c:v>-1558</c:v>
                </c:pt>
                <c:pt idx="9">
                  <c:v>-1558</c:v>
                </c:pt>
                <c:pt idx="10">
                  <c:v>-1553</c:v>
                </c:pt>
                <c:pt idx="11">
                  <c:v>-1553</c:v>
                </c:pt>
                <c:pt idx="12">
                  <c:v>-1545</c:v>
                </c:pt>
                <c:pt idx="13">
                  <c:v>-1456</c:v>
                </c:pt>
                <c:pt idx="14">
                  <c:v>-1454</c:v>
                </c:pt>
                <c:pt idx="15">
                  <c:v>-1446</c:v>
                </c:pt>
                <c:pt idx="16">
                  <c:v>-1446</c:v>
                </c:pt>
                <c:pt idx="17">
                  <c:v>-1350</c:v>
                </c:pt>
                <c:pt idx="18">
                  <c:v>-1342</c:v>
                </c:pt>
                <c:pt idx="19">
                  <c:v>-1342</c:v>
                </c:pt>
                <c:pt idx="20">
                  <c:v>-1339</c:v>
                </c:pt>
                <c:pt idx="21">
                  <c:v>-1339</c:v>
                </c:pt>
                <c:pt idx="22">
                  <c:v>-1238</c:v>
                </c:pt>
                <c:pt idx="23">
                  <c:v>-1238</c:v>
                </c:pt>
                <c:pt idx="24">
                  <c:v>-1235</c:v>
                </c:pt>
                <c:pt idx="25">
                  <c:v>-1235</c:v>
                </c:pt>
                <c:pt idx="26">
                  <c:v>-1123</c:v>
                </c:pt>
                <c:pt idx="27">
                  <c:v>-1123</c:v>
                </c:pt>
                <c:pt idx="28">
                  <c:v>-701</c:v>
                </c:pt>
                <c:pt idx="29">
                  <c:v>-48</c:v>
                </c:pt>
                <c:pt idx="30">
                  <c:v>-48</c:v>
                </c:pt>
                <c:pt idx="31">
                  <c:v>-26</c:v>
                </c:pt>
                <c:pt idx="32">
                  <c:v>-26</c:v>
                </c:pt>
                <c:pt idx="33">
                  <c:v>-5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812</c:v>
                </c:pt>
                <c:pt idx="40">
                  <c:v>1372</c:v>
                </c:pt>
                <c:pt idx="41">
                  <c:v>3845</c:v>
                </c:pt>
                <c:pt idx="42">
                  <c:v>4192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1">
                  <c:v>-0.46220000000175787</c:v>
                </c:pt>
                <c:pt idx="42">
                  <c:v>-0.55454000000463566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BF-4D96-A21D-491C73F7F3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1.0999999999999999E-2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1.0999999999999999E-2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-7731</c:v>
                </c:pt>
                <c:pt idx="1">
                  <c:v>-7416</c:v>
                </c:pt>
                <c:pt idx="2">
                  <c:v>-4371</c:v>
                </c:pt>
                <c:pt idx="3">
                  <c:v>-2214</c:v>
                </c:pt>
                <c:pt idx="4">
                  <c:v>-1764</c:v>
                </c:pt>
                <c:pt idx="5">
                  <c:v>-1748</c:v>
                </c:pt>
                <c:pt idx="6">
                  <c:v>-1667</c:v>
                </c:pt>
                <c:pt idx="7">
                  <c:v>-1667</c:v>
                </c:pt>
                <c:pt idx="8">
                  <c:v>-1558</c:v>
                </c:pt>
                <c:pt idx="9">
                  <c:v>-1558</c:v>
                </c:pt>
                <c:pt idx="10">
                  <c:v>-1553</c:v>
                </c:pt>
                <c:pt idx="11">
                  <c:v>-1553</c:v>
                </c:pt>
                <c:pt idx="12">
                  <c:v>-1545</c:v>
                </c:pt>
                <c:pt idx="13">
                  <c:v>-1456</c:v>
                </c:pt>
                <c:pt idx="14">
                  <c:v>-1454</c:v>
                </c:pt>
                <c:pt idx="15">
                  <c:v>-1446</c:v>
                </c:pt>
                <c:pt idx="16">
                  <c:v>-1446</c:v>
                </c:pt>
                <c:pt idx="17">
                  <c:v>-1350</c:v>
                </c:pt>
                <c:pt idx="18">
                  <c:v>-1342</c:v>
                </c:pt>
                <c:pt idx="19">
                  <c:v>-1342</c:v>
                </c:pt>
                <c:pt idx="20">
                  <c:v>-1339</c:v>
                </c:pt>
                <c:pt idx="21">
                  <c:v>-1339</c:v>
                </c:pt>
                <c:pt idx="22">
                  <c:v>-1238</c:v>
                </c:pt>
                <c:pt idx="23">
                  <c:v>-1238</c:v>
                </c:pt>
                <c:pt idx="24">
                  <c:v>-1235</c:v>
                </c:pt>
                <c:pt idx="25">
                  <c:v>-1235</c:v>
                </c:pt>
                <c:pt idx="26">
                  <c:v>-1123</c:v>
                </c:pt>
                <c:pt idx="27">
                  <c:v>-1123</c:v>
                </c:pt>
                <c:pt idx="28">
                  <c:v>-701</c:v>
                </c:pt>
                <c:pt idx="29">
                  <c:v>-48</c:v>
                </c:pt>
                <c:pt idx="30">
                  <c:v>-48</c:v>
                </c:pt>
                <c:pt idx="31">
                  <c:v>-26</c:v>
                </c:pt>
                <c:pt idx="32">
                  <c:v>-26</c:v>
                </c:pt>
                <c:pt idx="33">
                  <c:v>-5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812</c:v>
                </c:pt>
                <c:pt idx="40">
                  <c:v>1372</c:v>
                </c:pt>
                <c:pt idx="41">
                  <c:v>3845</c:v>
                </c:pt>
                <c:pt idx="42">
                  <c:v>4192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BF-4D96-A21D-491C73F7F3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1.0999999999999999E-2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1.0999999999999999E-2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-7731</c:v>
                </c:pt>
                <c:pt idx="1">
                  <c:v>-7416</c:v>
                </c:pt>
                <c:pt idx="2">
                  <c:v>-4371</c:v>
                </c:pt>
                <c:pt idx="3">
                  <c:v>-2214</c:v>
                </c:pt>
                <c:pt idx="4">
                  <c:v>-1764</c:v>
                </c:pt>
                <c:pt idx="5">
                  <c:v>-1748</c:v>
                </c:pt>
                <c:pt idx="6">
                  <c:v>-1667</c:v>
                </c:pt>
                <c:pt idx="7">
                  <c:v>-1667</c:v>
                </c:pt>
                <c:pt idx="8">
                  <c:v>-1558</c:v>
                </c:pt>
                <c:pt idx="9">
                  <c:v>-1558</c:v>
                </c:pt>
                <c:pt idx="10">
                  <c:v>-1553</c:v>
                </c:pt>
                <c:pt idx="11">
                  <c:v>-1553</c:v>
                </c:pt>
                <c:pt idx="12">
                  <c:v>-1545</c:v>
                </c:pt>
                <c:pt idx="13">
                  <c:v>-1456</c:v>
                </c:pt>
                <c:pt idx="14">
                  <c:v>-1454</c:v>
                </c:pt>
                <c:pt idx="15">
                  <c:v>-1446</c:v>
                </c:pt>
                <c:pt idx="16">
                  <c:v>-1446</c:v>
                </c:pt>
                <c:pt idx="17">
                  <c:v>-1350</c:v>
                </c:pt>
                <c:pt idx="18">
                  <c:v>-1342</c:v>
                </c:pt>
                <c:pt idx="19">
                  <c:v>-1342</c:v>
                </c:pt>
                <c:pt idx="20">
                  <c:v>-1339</c:v>
                </c:pt>
                <c:pt idx="21">
                  <c:v>-1339</c:v>
                </c:pt>
                <c:pt idx="22">
                  <c:v>-1238</c:v>
                </c:pt>
                <c:pt idx="23">
                  <c:v>-1238</c:v>
                </c:pt>
                <c:pt idx="24">
                  <c:v>-1235</c:v>
                </c:pt>
                <c:pt idx="25">
                  <c:v>-1235</c:v>
                </c:pt>
                <c:pt idx="26">
                  <c:v>-1123</c:v>
                </c:pt>
                <c:pt idx="27">
                  <c:v>-1123</c:v>
                </c:pt>
                <c:pt idx="28">
                  <c:v>-701</c:v>
                </c:pt>
                <c:pt idx="29">
                  <c:v>-48</c:v>
                </c:pt>
                <c:pt idx="30">
                  <c:v>-48</c:v>
                </c:pt>
                <c:pt idx="31">
                  <c:v>-26</c:v>
                </c:pt>
                <c:pt idx="32">
                  <c:v>-26</c:v>
                </c:pt>
                <c:pt idx="33">
                  <c:v>-5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812</c:v>
                </c:pt>
                <c:pt idx="40">
                  <c:v>1372</c:v>
                </c:pt>
                <c:pt idx="41">
                  <c:v>3845</c:v>
                </c:pt>
                <c:pt idx="42">
                  <c:v>4192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BF-4D96-A21D-491C73F7F3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1.0999999999999999E-2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1.0999999999999999E-2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-7731</c:v>
                </c:pt>
                <c:pt idx="1">
                  <c:v>-7416</c:v>
                </c:pt>
                <c:pt idx="2">
                  <c:v>-4371</c:v>
                </c:pt>
                <c:pt idx="3">
                  <c:v>-2214</c:v>
                </c:pt>
                <c:pt idx="4">
                  <c:v>-1764</c:v>
                </c:pt>
                <c:pt idx="5">
                  <c:v>-1748</c:v>
                </c:pt>
                <c:pt idx="6">
                  <c:v>-1667</c:v>
                </c:pt>
                <c:pt idx="7">
                  <c:v>-1667</c:v>
                </c:pt>
                <c:pt idx="8">
                  <c:v>-1558</c:v>
                </c:pt>
                <c:pt idx="9">
                  <c:v>-1558</c:v>
                </c:pt>
                <c:pt idx="10">
                  <c:v>-1553</c:v>
                </c:pt>
                <c:pt idx="11">
                  <c:v>-1553</c:v>
                </c:pt>
                <c:pt idx="12">
                  <c:v>-1545</c:v>
                </c:pt>
                <c:pt idx="13">
                  <c:v>-1456</c:v>
                </c:pt>
                <c:pt idx="14">
                  <c:v>-1454</c:v>
                </c:pt>
                <c:pt idx="15">
                  <c:v>-1446</c:v>
                </c:pt>
                <c:pt idx="16">
                  <c:v>-1446</c:v>
                </c:pt>
                <c:pt idx="17">
                  <c:v>-1350</c:v>
                </c:pt>
                <c:pt idx="18">
                  <c:v>-1342</c:v>
                </c:pt>
                <c:pt idx="19">
                  <c:v>-1342</c:v>
                </c:pt>
                <c:pt idx="20">
                  <c:v>-1339</c:v>
                </c:pt>
                <c:pt idx="21">
                  <c:v>-1339</c:v>
                </c:pt>
                <c:pt idx="22">
                  <c:v>-1238</c:v>
                </c:pt>
                <c:pt idx="23">
                  <c:v>-1238</c:v>
                </c:pt>
                <c:pt idx="24">
                  <c:v>-1235</c:v>
                </c:pt>
                <c:pt idx="25">
                  <c:v>-1235</c:v>
                </c:pt>
                <c:pt idx="26">
                  <c:v>-1123</c:v>
                </c:pt>
                <c:pt idx="27">
                  <c:v>-1123</c:v>
                </c:pt>
                <c:pt idx="28">
                  <c:v>-701</c:v>
                </c:pt>
                <c:pt idx="29">
                  <c:v>-48</c:v>
                </c:pt>
                <c:pt idx="30">
                  <c:v>-48</c:v>
                </c:pt>
                <c:pt idx="31">
                  <c:v>-26</c:v>
                </c:pt>
                <c:pt idx="32">
                  <c:v>-26</c:v>
                </c:pt>
                <c:pt idx="33">
                  <c:v>-5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812</c:v>
                </c:pt>
                <c:pt idx="40">
                  <c:v>1372</c:v>
                </c:pt>
                <c:pt idx="41">
                  <c:v>3845</c:v>
                </c:pt>
                <c:pt idx="42">
                  <c:v>4192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BF-4D96-A21D-491C73F7F3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-7731</c:v>
                </c:pt>
                <c:pt idx="1">
                  <c:v>-7416</c:v>
                </c:pt>
                <c:pt idx="2">
                  <c:v>-4371</c:v>
                </c:pt>
                <c:pt idx="3">
                  <c:v>-2214</c:v>
                </c:pt>
                <c:pt idx="4">
                  <c:v>-1764</c:v>
                </c:pt>
                <c:pt idx="5">
                  <c:v>-1748</c:v>
                </c:pt>
                <c:pt idx="6">
                  <c:v>-1667</c:v>
                </c:pt>
                <c:pt idx="7">
                  <c:v>-1667</c:v>
                </c:pt>
                <c:pt idx="8">
                  <c:v>-1558</c:v>
                </c:pt>
                <c:pt idx="9">
                  <c:v>-1558</c:v>
                </c:pt>
                <c:pt idx="10">
                  <c:v>-1553</c:v>
                </c:pt>
                <c:pt idx="11">
                  <c:v>-1553</c:v>
                </c:pt>
                <c:pt idx="12">
                  <c:v>-1545</c:v>
                </c:pt>
                <c:pt idx="13">
                  <c:v>-1456</c:v>
                </c:pt>
                <c:pt idx="14">
                  <c:v>-1454</c:v>
                </c:pt>
                <c:pt idx="15">
                  <c:v>-1446</c:v>
                </c:pt>
                <c:pt idx="16">
                  <c:v>-1446</c:v>
                </c:pt>
                <c:pt idx="17">
                  <c:v>-1350</c:v>
                </c:pt>
                <c:pt idx="18">
                  <c:v>-1342</c:v>
                </c:pt>
                <c:pt idx="19">
                  <c:v>-1342</c:v>
                </c:pt>
                <c:pt idx="20">
                  <c:v>-1339</c:v>
                </c:pt>
                <c:pt idx="21">
                  <c:v>-1339</c:v>
                </c:pt>
                <c:pt idx="22">
                  <c:v>-1238</c:v>
                </c:pt>
                <c:pt idx="23">
                  <c:v>-1238</c:v>
                </c:pt>
                <c:pt idx="24">
                  <c:v>-1235</c:v>
                </c:pt>
                <c:pt idx="25">
                  <c:v>-1235</c:v>
                </c:pt>
                <c:pt idx="26">
                  <c:v>-1123</c:v>
                </c:pt>
                <c:pt idx="27">
                  <c:v>-1123</c:v>
                </c:pt>
                <c:pt idx="28">
                  <c:v>-701</c:v>
                </c:pt>
                <c:pt idx="29">
                  <c:v>-48</c:v>
                </c:pt>
                <c:pt idx="30">
                  <c:v>-48</c:v>
                </c:pt>
                <c:pt idx="31">
                  <c:v>-26</c:v>
                </c:pt>
                <c:pt idx="32">
                  <c:v>-26</c:v>
                </c:pt>
                <c:pt idx="33">
                  <c:v>-5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812</c:v>
                </c:pt>
                <c:pt idx="40">
                  <c:v>1372</c:v>
                </c:pt>
                <c:pt idx="41">
                  <c:v>3845</c:v>
                </c:pt>
                <c:pt idx="42">
                  <c:v>4192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0.75195281449211959</c:v>
                </c:pt>
                <c:pt idx="1">
                  <c:v>0.71744455460027634</c:v>
                </c:pt>
                <c:pt idx="2">
                  <c:v>0.38386470897912517</c:v>
                </c:pt>
                <c:pt idx="3">
                  <c:v>0.14756529124355111</c:v>
                </c:pt>
                <c:pt idx="4">
                  <c:v>9.8267777112346494E-2</c:v>
                </c:pt>
                <c:pt idx="5">
                  <c:v>9.6514976609903685E-2</c:v>
                </c:pt>
                <c:pt idx="6">
                  <c:v>8.7641424066286833E-2</c:v>
                </c:pt>
                <c:pt idx="7">
                  <c:v>8.7641424066286833E-2</c:v>
                </c:pt>
                <c:pt idx="8">
                  <c:v>7.5700470643395051E-2</c:v>
                </c:pt>
                <c:pt idx="9">
                  <c:v>7.5700470643395051E-2</c:v>
                </c:pt>
                <c:pt idx="10">
                  <c:v>7.5152720486381663E-2</c:v>
                </c:pt>
                <c:pt idx="11">
                  <c:v>7.5152720486381663E-2</c:v>
                </c:pt>
                <c:pt idx="12">
                  <c:v>7.4276320235160259E-2</c:v>
                </c:pt>
                <c:pt idx="13">
                  <c:v>6.452636744032203E-2</c:v>
                </c:pt>
                <c:pt idx="14">
                  <c:v>6.4307267377516658E-2</c:v>
                </c:pt>
                <c:pt idx="15">
                  <c:v>6.3430867126295254E-2</c:v>
                </c:pt>
                <c:pt idx="16">
                  <c:v>6.3430867126295254E-2</c:v>
                </c:pt>
                <c:pt idx="17">
                  <c:v>5.2914064111638265E-2</c:v>
                </c:pt>
                <c:pt idx="18">
                  <c:v>5.2037663860416861E-2</c:v>
                </c:pt>
                <c:pt idx="19">
                  <c:v>5.2037663860416861E-2</c:v>
                </c:pt>
                <c:pt idx="20">
                  <c:v>5.1709013766208817E-2</c:v>
                </c:pt>
                <c:pt idx="21">
                  <c:v>5.1709013766208817E-2</c:v>
                </c:pt>
                <c:pt idx="22">
                  <c:v>4.064446059453844E-2</c:v>
                </c:pt>
                <c:pt idx="23">
                  <c:v>4.064446059453844E-2</c:v>
                </c:pt>
                <c:pt idx="24">
                  <c:v>4.0315810500330423E-2</c:v>
                </c:pt>
                <c:pt idx="25">
                  <c:v>4.0315810500330423E-2</c:v>
                </c:pt>
                <c:pt idx="26">
                  <c:v>2.8046206983230612E-2</c:v>
                </c:pt>
                <c:pt idx="27">
                  <c:v>2.8046206983230612E-2</c:v>
                </c:pt>
                <c:pt idx="28">
                  <c:v>-1.8183906268699049E-2</c:v>
                </c:pt>
                <c:pt idx="29">
                  <c:v>-8.9720076774647065E-2</c:v>
                </c:pt>
                <c:pt idx="30">
                  <c:v>-8.9720076774647065E-2</c:v>
                </c:pt>
                <c:pt idx="31">
                  <c:v>-9.2130177465505961E-2</c:v>
                </c:pt>
                <c:pt idx="32">
                  <c:v>-9.2130177465505961E-2</c:v>
                </c:pt>
                <c:pt idx="33">
                  <c:v>-9.4430728124962171E-2</c:v>
                </c:pt>
                <c:pt idx="34">
                  <c:v>-9.4978478281975559E-2</c:v>
                </c:pt>
                <c:pt idx="35">
                  <c:v>-9.4978478281975559E-2</c:v>
                </c:pt>
                <c:pt idx="36">
                  <c:v>-9.4978478281975559E-2</c:v>
                </c:pt>
                <c:pt idx="37">
                  <c:v>-9.4978478281975559E-2</c:v>
                </c:pt>
                <c:pt idx="38">
                  <c:v>-9.5197578344780917E-2</c:v>
                </c:pt>
                <c:pt idx="39">
                  <c:v>-0.18393310378094921</c:v>
                </c:pt>
                <c:pt idx="40">
                  <c:v>-0.24528112136644828</c:v>
                </c:pt>
                <c:pt idx="41">
                  <c:v>-0.51619834902526829</c:v>
                </c:pt>
                <c:pt idx="42">
                  <c:v>-0.55421220992199716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BF-4D96-A21D-491C73F7F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958240"/>
        <c:axId val="1"/>
      </c:scatterChart>
      <c:valAx>
        <c:axId val="886958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293594499034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958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38100</xdr:rowOff>
    </xdr:from>
    <xdr:to>
      <xdr:col>17</xdr:col>
      <xdr:colOff>304799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3ACEF0-4399-3462-A401-CDC6EB5C9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9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190</v>
      </c>
    </row>
    <row r="2" spans="1:6" x14ac:dyDescent="0.2">
      <c r="A2" t="s">
        <v>24</v>
      </c>
      <c r="B2" s="8" t="s">
        <v>33</v>
      </c>
    </row>
    <row r="4" spans="1:6" ht="14.25" thickTop="1" thickBot="1" x14ac:dyDescent="0.25">
      <c r="A4" s="5" t="s">
        <v>0</v>
      </c>
      <c r="C4" s="2">
        <v>42819.266000000003</v>
      </c>
      <c r="D4" s="3">
        <v>3.3747199999999999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42819.266000000003</v>
      </c>
    </row>
    <row r="8" spans="1:6" x14ac:dyDescent="0.2">
      <c r="A8" t="s">
        <v>3</v>
      </c>
      <c r="C8">
        <f>+D4</f>
        <v>3.3747199999999999</v>
      </c>
    </row>
    <row r="9" spans="1:6" x14ac:dyDescent="0.2">
      <c r="A9" s="25" t="s">
        <v>39</v>
      </c>
      <c r="B9" s="26">
        <v>21</v>
      </c>
      <c r="C9" s="14" t="str">
        <f>"F"&amp;B9</f>
        <v>F21</v>
      </c>
      <c r="D9" s="15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12">
        <f ca="1">INTERCEPT(INDIRECT($D$9):G992,INDIRECT($C$9):F992)</f>
        <v>-9.4978478281975559E-2</v>
      </c>
      <c r="D11" s="13"/>
      <c r="E11" s="10"/>
    </row>
    <row r="12" spans="1:6" x14ac:dyDescent="0.2">
      <c r="A12" s="10" t="s">
        <v>17</v>
      </c>
      <c r="B12" s="10"/>
      <c r="C12" s="12">
        <f ca="1">SLOPE(INDIRECT($D$9):G992,INDIRECT($C$9):F992)</f>
        <v>-1.0955003140267691E-4</v>
      </c>
      <c r="D12" s="13"/>
      <c r="E12" s="10"/>
    </row>
    <row r="13" spans="1:6" x14ac:dyDescent="0.2">
      <c r="A13" s="10" t="s">
        <v>19</v>
      </c>
      <c r="B13" s="10"/>
      <c r="C13" s="13" t="s">
        <v>14</v>
      </c>
    </row>
    <row r="14" spans="1:6" x14ac:dyDescent="0.2">
      <c r="A14" s="10"/>
      <c r="B14" s="10"/>
      <c r="C14" s="10"/>
    </row>
    <row r="15" spans="1:6" x14ac:dyDescent="0.2">
      <c r="A15" s="16" t="s">
        <v>18</v>
      </c>
      <c r="B15" s="10"/>
      <c r="C15" s="17">
        <f ca="1">(C7+C11)+(C8+C12)*INT(MAX(F21:F3533))</f>
        <v>56965.538027790084</v>
      </c>
      <c r="E15" s="13"/>
      <c r="F15" s="10"/>
    </row>
    <row r="16" spans="1:6" x14ac:dyDescent="0.2">
      <c r="A16" s="20" t="s">
        <v>4</v>
      </c>
      <c r="B16" s="10"/>
      <c r="C16" s="21">
        <f ca="1">+C8+C12</f>
        <v>3.3746104499685972</v>
      </c>
      <c r="E16" s="10"/>
      <c r="F16" s="10"/>
    </row>
    <row r="17" spans="1:19" ht="13.5" thickBot="1" x14ac:dyDescent="0.25">
      <c r="A17" s="18" t="s">
        <v>32</v>
      </c>
      <c r="B17" s="10"/>
      <c r="C17" s="10">
        <f>COUNT(C21:C2191)</f>
        <v>43</v>
      </c>
      <c r="E17" s="18" t="s">
        <v>36</v>
      </c>
      <c r="F17" s="19">
        <f ca="1">TODAY()+15018.5-B5/24</f>
        <v>60329.5</v>
      </c>
    </row>
    <row r="18" spans="1:19" ht="14.25" thickTop="1" thickBot="1" x14ac:dyDescent="0.25">
      <c r="A18" s="20" t="s">
        <v>5</v>
      </c>
      <c r="B18" s="10"/>
      <c r="C18" s="23">
        <f ca="1">+C15</f>
        <v>56965.538027790084</v>
      </c>
      <c r="D18" s="24">
        <f ca="1">+C16</f>
        <v>3.3746104499685972</v>
      </c>
      <c r="E18" s="18" t="s">
        <v>37</v>
      </c>
      <c r="F18" s="19">
        <f ca="1">ROUND(2*(F17-C15)/C16,0)/2+1</f>
        <v>998</v>
      </c>
    </row>
    <row r="19" spans="1:19" ht="13.5" thickTop="1" x14ac:dyDescent="0.2">
      <c r="E19" s="18" t="s">
        <v>38</v>
      </c>
      <c r="F19" s="22">
        <f ca="1">+C15+C16*F18-15018.5-C5/24</f>
        <v>45315.295090192078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51</v>
      </c>
      <c r="J20" s="7" t="s">
        <v>45</v>
      </c>
      <c r="K20" s="7" t="s">
        <v>43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9" x14ac:dyDescent="0.2">
      <c r="A21" s="46" t="s">
        <v>57</v>
      </c>
      <c r="B21" s="47" t="s">
        <v>188</v>
      </c>
      <c r="C21" s="46">
        <v>16730.407999999999</v>
      </c>
      <c r="D21" s="46" t="s">
        <v>51</v>
      </c>
      <c r="E21" s="27">
        <f t="shared" ref="E21:E63" si="0">+(C21-C$7)/C$8</f>
        <v>-7730.6733595676096</v>
      </c>
      <c r="F21" s="48">
        <f>ROUND(2*E21,0)/2-0.5</f>
        <v>-7731</v>
      </c>
      <c r="G21" s="27">
        <f t="shared" ref="G21:G63" si="1">+C21-(C$7+F21*C$8)</f>
        <v>1.1023199999945064</v>
      </c>
      <c r="H21" s="27">
        <f t="shared" ref="H21:H59" si="2">+G21</f>
        <v>1.1023199999945064</v>
      </c>
      <c r="K21" s="27"/>
      <c r="L21" s="27"/>
      <c r="M21" s="27"/>
      <c r="N21" s="27"/>
      <c r="O21" s="27">
        <f t="shared" ref="O21:O63" ca="1" si="3">+C$11+C$12*F21</f>
        <v>0.75195281449211959</v>
      </c>
      <c r="P21" s="27"/>
      <c r="Q21" s="29">
        <f t="shared" ref="Q21:Q63" si="4">+C21-15018.5</f>
        <v>1711.9079999999994</v>
      </c>
      <c r="R21" s="27"/>
      <c r="S21" s="27"/>
    </row>
    <row r="22" spans="1:19" x14ac:dyDescent="0.2">
      <c r="A22" s="46" t="s">
        <v>57</v>
      </c>
      <c r="B22" s="47" t="s">
        <v>188</v>
      </c>
      <c r="C22" s="46">
        <v>17793.437999999998</v>
      </c>
      <c r="D22" s="46" t="s">
        <v>51</v>
      </c>
      <c r="E22" s="27">
        <f t="shared" si="0"/>
        <v>-7415.6753745495935</v>
      </c>
      <c r="F22" s="48">
        <f>ROUND(2*E22,0)/2-0.5</f>
        <v>-7416</v>
      </c>
      <c r="G22" s="27">
        <f t="shared" si="1"/>
        <v>1.0955199999953038</v>
      </c>
      <c r="H22" s="27">
        <f t="shared" si="2"/>
        <v>1.0955199999953038</v>
      </c>
      <c r="K22" s="27"/>
      <c r="L22" s="27"/>
      <c r="M22" s="27"/>
      <c r="N22" s="27"/>
      <c r="O22" s="27">
        <f t="shared" ca="1" si="3"/>
        <v>0.71744455460027634</v>
      </c>
      <c r="P22" s="27"/>
      <c r="Q22" s="29">
        <f t="shared" si="4"/>
        <v>2774.9379999999983</v>
      </c>
      <c r="R22" s="27"/>
      <c r="S22" s="27"/>
    </row>
    <row r="23" spans="1:19" x14ac:dyDescent="0.2">
      <c r="A23" s="46" t="s">
        <v>57</v>
      </c>
      <c r="B23" s="47" t="s">
        <v>189</v>
      </c>
      <c r="C23" s="46">
        <v>28068.288</v>
      </c>
      <c r="D23" s="46" t="s">
        <v>51</v>
      </c>
      <c r="E23" s="27">
        <f t="shared" si="0"/>
        <v>-4371.0227811492514</v>
      </c>
      <c r="F23" s="27">
        <f t="shared" ref="F23:F63" si="5">ROUND(2*E23,0)/2</f>
        <v>-4371</v>
      </c>
      <c r="G23" s="27">
        <f t="shared" si="1"/>
        <v>-7.6880000000528526E-2</v>
      </c>
      <c r="H23" s="27">
        <f t="shared" si="2"/>
        <v>-7.6880000000528526E-2</v>
      </c>
      <c r="K23" s="27"/>
      <c r="L23" s="27"/>
      <c r="M23" s="27"/>
      <c r="N23" s="27"/>
      <c r="O23" s="27">
        <f t="shared" ca="1" si="3"/>
        <v>0.38386470897912517</v>
      </c>
      <c r="P23" s="27"/>
      <c r="Q23" s="29">
        <f t="shared" si="4"/>
        <v>13049.788</v>
      </c>
      <c r="R23" s="27"/>
      <c r="S23" s="27"/>
    </row>
    <row r="24" spans="1:19" x14ac:dyDescent="0.2">
      <c r="A24" s="46" t="s">
        <v>57</v>
      </c>
      <c r="B24" s="47" t="s">
        <v>189</v>
      </c>
      <c r="C24" s="46">
        <v>35347.53</v>
      </c>
      <c r="D24" s="46" t="s">
        <v>51</v>
      </c>
      <c r="E24" s="27">
        <f t="shared" si="0"/>
        <v>-2214.0313863076062</v>
      </c>
      <c r="F24" s="27">
        <f t="shared" si="5"/>
        <v>-2214</v>
      </c>
      <c r="G24" s="27">
        <f t="shared" si="1"/>
        <v>-0.10592000000178814</v>
      </c>
      <c r="H24" s="27">
        <f t="shared" si="2"/>
        <v>-0.10592000000178814</v>
      </c>
      <c r="K24" s="27"/>
      <c r="L24" s="27"/>
      <c r="M24" s="27"/>
      <c r="N24" s="27"/>
      <c r="O24" s="27">
        <f t="shared" ca="1" si="3"/>
        <v>0.14756529124355111</v>
      </c>
      <c r="P24" s="27"/>
      <c r="Q24" s="29">
        <f t="shared" si="4"/>
        <v>20329.03</v>
      </c>
    </row>
    <row r="25" spans="1:19" x14ac:dyDescent="0.2">
      <c r="A25" s="46" t="s">
        <v>57</v>
      </c>
      <c r="B25" s="47" t="s">
        <v>189</v>
      </c>
      <c r="C25" s="46">
        <v>36866.353999999999</v>
      </c>
      <c r="D25" s="46" t="s">
        <v>51</v>
      </c>
      <c r="E25" s="27">
        <f t="shared" si="0"/>
        <v>-1763.9721221316152</v>
      </c>
      <c r="F25" s="27">
        <f t="shared" si="5"/>
        <v>-1764</v>
      </c>
      <c r="G25" s="27">
        <f t="shared" si="1"/>
        <v>9.4079999995301478E-2</v>
      </c>
      <c r="H25" s="27">
        <f t="shared" si="2"/>
        <v>9.4079999995301478E-2</v>
      </c>
      <c r="K25" s="27"/>
      <c r="L25" s="27"/>
      <c r="M25" s="27"/>
      <c r="N25" s="27"/>
      <c r="O25" s="27">
        <f t="shared" ca="1" si="3"/>
        <v>9.8267777112346494E-2</v>
      </c>
      <c r="P25" s="27"/>
      <c r="Q25" s="29">
        <f t="shared" si="4"/>
        <v>21847.853999999999</v>
      </c>
    </row>
    <row r="26" spans="1:19" x14ac:dyDescent="0.2">
      <c r="A26" s="46" t="s">
        <v>57</v>
      </c>
      <c r="B26" s="47" t="s">
        <v>189</v>
      </c>
      <c r="C26" s="46">
        <v>36920.184000000001</v>
      </c>
      <c r="D26" s="46" t="s">
        <v>51</v>
      </c>
      <c r="E26" s="27">
        <f t="shared" si="0"/>
        <v>-1748.0211691636646</v>
      </c>
      <c r="F26" s="27">
        <f t="shared" si="5"/>
        <v>-1748</v>
      </c>
      <c r="G26" s="27">
        <f t="shared" si="1"/>
        <v>-7.143999999971129E-2</v>
      </c>
      <c r="H26" s="27">
        <f t="shared" si="2"/>
        <v>-7.143999999971129E-2</v>
      </c>
      <c r="K26" s="27"/>
      <c r="L26" s="27"/>
      <c r="M26" s="27"/>
      <c r="N26" s="27"/>
      <c r="O26" s="27">
        <f t="shared" ca="1" si="3"/>
        <v>9.6514976609903685E-2</v>
      </c>
      <c r="P26" s="27"/>
      <c r="Q26" s="29">
        <f t="shared" si="4"/>
        <v>21901.684000000001</v>
      </c>
    </row>
    <row r="27" spans="1:19" x14ac:dyDescent="0.2">
      <c r="A27" s="46" t="s">
        <v>57</v>
      </c>
      <c r="B27" s="47" t="s">
        <v>189</v>
      </c>
      <c r="C27" s="46">
        <v>37193.445</v>
      </c>
      <c r="D27" s="46" t="s">
        <v>51</v>
      </c>
      <c r="E27" s="27">
        <f t="shared" si="0"/>
        <v>-1667.0482291864225</v>
      </c>
      <c r="F27" s="27">
        <f t="shared" si="5"/>
        <v>-1667</v>
      </c>
      <c r="G27" s="27">
        <f t="shared" si="1"/>
        <v>-0.16276000000652857</v>
      </c>
      <c r="H27" s="27">
        <f t="shared" si="2"/>
        <v>-0.16276000000652857</v>
      </c>
      <c r="K27" s="27"/>
      <c r="L27" s="27"/>
      <c r="M27" s="27"/>
      <c r="N27" s="27"/>
      <c r="O27" s="27">
        <f t="shared" ca="1" si="3"/>
        <v>8.7641424066286833E-2</v>
      </c>
      <c r="P27" s="27"/>
      <c r="Q27" s="29">
        <f t="shared" si="4"/>
        <v>22174.945</v>
      </c>
    </row>
    <row r="28" spans="1:19" x14ac:dyDescent="0.2">
      <c r="A28" s="46" t="s">
        <v>57</v>
      </c>
      <c r="B28" s="47" t="s">
        <v>189</v>
      </c>
      <c r="C28" s="46">
        <v>37193.468999999997</v>
      </c>
      <c r="D28" s="46" t="s">
        <v>51</v>
      </c>
      <c r="E28" s="27">
        <f t="shared" si="0"/>
        <v>-1667.0411174853043</v>
      </c>
      <c r="F28" s="27">
        <f t="shared" si="5"/>
        <v>-1667</v>
      </c>
      <c r="G28" s="27">
        <f t="shared" si="1"/>
        <v>-0.13876000000891509</v>
      </c>
      <c r="H28" s="27">
        <f t="shared" si="2"/>
        <v>-0.13876000000891509</v>
      </c>
      <c r="K28" s="27"/>
      <c r="L28" s="27"/>
      <c r="M28" s="27"/>
      <c r="N28" s="27"/>
      <c r="O28" s="27">
        <f t="shared" ca="1" si="3"/>
        <v>8.7641424066286833E-2</v>
      </c>
      <c r="P28" s="27"/>
      <c r="Q28" s="29">
        <f t="shared" si="4"/>
        <v>22174.968999999997</v>
      </c>
    </row>
    <row r="29" spans="1:19" x14ac:dyDescent="0.2">
      <c r="A29" s="46" t="s">
        <v>57</v>
      </c>
      <c r="B29" s="47" t="s">
        <v>189</v>
      </c>
      <c r="C29" s="46">
        <v>37561.442000000003</v>
      </c>
      <c r="D29" s="46" t="s">
        <v>51</v>
      </c>
      <c r="E29" s="27">
        <f t="shared" si="0"/>
        <v>-1558.0030343258109</v>
      </c>
      <c r="F29" s="27">
        <f t="shared" si="5"/>
        <v>-1558</v>
      </c>
      <c r="G29" s="27">
        <f t="shared" si="1"/>
        <v>-1.0240000003250316E-2</v>
      </c>
      <c r="H29" s="27">
        <f t="shared" si="2"/>
        <v>-1.0240000003250316E-2</v>
      </c>
      <c r="K29" s="27"/>
      <c r="L29" s="27"/>
      <c r="M29" s="27"/>
      <c r="N29" s="27"/>
      <c r="O29" s="27">
        <f t="shared" ca="1" si="3"/>
        <v>7.5700470643395051E-2</v>
      </c>
      <c r="P29" s="27"/>
      <c r="Q29" s="29">
        <f t="shared" si="4"/>
        <v>22542.942000000003</v>
      </c>
    </row>
    <row r="30" spans="1:19" x14ac:dyDescent="0.2">
      <c r="A30" s="46" t="s">
        <v>57</v>
      </c>
      <c r="B30" s="47" t="s">
        <v>189</v>
      </c>
      <c r="C30" s="46">
        <v>37561.466999999997</v>
      </c>
      <c r="D30" s="46" t="s">
        <v>51</v>
      </c>
      <c r="E30" s="27">
        <f t="shared" si="0"/>
        <v>-1557.9956263038139</v>
      </c>
      <c r="F30" s="27">
        <f t="shared" si="5"/>
        <v>-1558</v>
      </c>
      <c r="G30" s="27">
        <f t="shared" si="1"/>
        <v>1.4759999990928918E-2</v>
      </c>
      <c r="H30" s="27">
        <f t="shared" si="2"/>
        <v>1.4759999990928918E-2</v>
      </c>
      <c r="K30" s="27"/>
      <c r="L30" s="27"/>
      <c r="M30" s="27"/>
      <c r="N30" s="27"/>
      <c r="O30" s="27">
        <f t="shared" ca="1" si="3"/>
        <v>7.5700470643395051E-2</v>
      </c>
      <c r="P30" s="27"/>
      <c r="Q30" s="29">
        <f t="shared" si="4"/>
        <v>22542.966999999997</v>
      </c>
    </row>
    <row r="31" spans="1:19" x14ac:dyDescent="0.2">
      <c r="A31" s="46" t="s">
        <v>57</v>
      </c>
      <c r="B31" s="47" t="s">
        <v>189</v>
      </c>
      <c r="C31" s="46">
        <v>37578.381999999998</v>
      </c>
      <c r="D31" s="46" t="s">
        <v>51</v>
      </c>
      <c r="E31" s="27">
        <f t="shared" si="0"/>
        <v>-1552.9833586193834</v>
      </c>
      <c r="F31" s="27">
        <f t="shared" si="5"/>
        <v>-1553</v>
      </c>
      <c r="G31" s="27">
        <f t="shared" si="1"/>
        <v>5.6159999992814846E-2</v>
      </c>
      <c r="H31" s="27">
        <f t="shared" si="2"/>
        <v>5.6159999992814846E-2</v>
      </c>
      <c r="K31" s="27"/>
      <c r="L31" s="27"/>
      <c r="M31" s="27"/>
      <c r="N31" s="27"/>
      <c r="O31" s="27">
        <f t="shared" ca="1" si="3"/>
        <v>7.5152720486381663E-2</v>
      </c>
      <c r="P31" s="27"/>
      <c r="Q31" s="29">
        <f t="shared" si="4"/>
        <v>22559.881999999998</v>
      </c>
    </row>
    <row r="32" spans="1:19" x14ac:dyDescent="0.2">
      <c r="A32" s="46" t="s">
        <v>57</v>
      </c>
      <c r="B32" s="47" t="s">
        <v>189</v>
      </c>
      <c r="C32" s="46">
        <v>37578.410000000003</v>
      </c>
      <c r="D32" s="46" t="s">
        <v>51</v>
      </c>
      <c r="E32" s="27">
        <f t="shared" si="0"/>
        <v>-1552.975061634743</v>
      </c>
      <c r="F32" s="27">
        <f t="shared" si="5"/>
        <v>-1553</v>
      </c>
      <c r="G32" s="27">
        <f t="shared" si="1"/>
        <v>8.4159999998519197E-2</v>
      </c>
      <c r="H32" s="27">
        <f t="shared" si="2"/>
        <v>8.4159999998519197E-2</v>
      </c>
      <c r="K32" s="27"/>
      <c r="L32" s="27"/>
      <c r="M32" s="27"/>
      <c r="N32" s="27"/>
      <c r="O32" s="27">
        <f t="shared" ca="1" si="3"/>
        <v>7.5152720486381663E-2</v>
      </c>
      <c r="P32" s="27"/>
      <c r="Q32" s="29">
        <f t="shared" si="4"/>
        <v>22559.910000000003</v>
      </c>
    </row>
    <row r="33" spans="1:17" x14ac:dyDescent="0.2">
      <c r="A33" s="46" t="s">
        <v>57</v>
      </c>
      <c r="B33" s="47" t="s">
        <v>189</v>
      </c>
      <c r="C33" s="46">
        <v>37605.353999999999</v>
      </c>
      <c r="D33" s="46" t="s">
        <v>51</v>
      </c>
      <c r="E33" s="27">
        <f t="shared" si="0"/>
        <v>-1544.9909918452506</v>
      </c>
      <c r="F33" s="27">
        <f t="shared" si="5"/>
        <v>-1545</v>
      </c>
      <c r="G33" s="27">
        <f t="shared" si="1"/>
        <v>3.0399999996006954E-2</v>
      </c>
      <c r="H33" s="27">
        <f t="shared" si="2"/>
        <v>3.0399999996006954E-2</v>
      </c>
      <c r="K33" s="27"/>
      <c r="L33" s="27"/>
      <c r="M33" s="27"/>
      <c r="N33" s="27"/>
      <c r="O33" s="27">
        <f t="shared" ca="1" si="3"/>
        <v>7.4276320235160259E-2</v>
      </c>
      <c r="P33" s="27"/>
      <c r="Q33" s="29">
        <f t="shared" si="4"/>
        <v>22586.853999999999</v>
      </c>
    </row>
    <row r="34" spans="1:17" x14ac:dyDescent="0.2">
      <c r="A34" s="46" t="s">
        <v>57</v>
      </c>
      <c r="B34" s="47" t="s">
        <v>189</v>
      </c>
      <c r="C34" s="46">
        <v>37905.510999999999</v>
      </c>
      <c r="D34" s="46" t="s">
        <v>51</v>
      </c>
      <c r="E34" s="27">
        <f t="shared" si="0"/>
        <v>-1456.0482054807524</v>
      </c>
      <c r="F34" s="27">
        <f t="shared" si="5"/>
        <v>-1456</v>
      </c>
      <c r="G34" s="27">
        <f t="shared" si="1"/>
        <v>-0.16268000000854954</v>
      </c>
      <c r="H34" s="27">
        <f t="shared" si="2"/>
        <v>-0.16268000000854954</v>
      </c>
      <c r="K34" s="27"/>
      <c r="L34" s="27"/>
      <c r="M34" s="27"/>
      <c r="N34" s="27"/>
      <c r="O34" s="27">
        <f t="shared" ca="1" si="3"/>
        <v>6.452636744032203E-2</v>
      </c>
      <c r="P34" s="27"/>
      <c r="Q34" s="29">
        <f t="shared" si="4"/>
        <v>22887.010999999999</v>
      </c>
    </row>
    <row r="35" spans="1:17" x14ac:dyDescent="0.2">
      <c r="A35" s="46" t="s">
        <v>57</v>
      </c>
      <c r="B35" s="47" t="s">
        <v>189</v>
      </c>
      <c r="C35" s="46">
        <v>37912.463000000003</v>
      </c>
      <c r="D35" s="46" t="s">
        <v>51</v>
      </c>
      <c r="E35" s="27">
        <f t="shared" si="0"/>
        <v>-1453.9881827233073</v>
      </c>
      <c r="F35" s="27">
        <f t="shared" si="5"/>
        <v>-1454</v>
      </c>
      <c r="G35" s="27">
        <f t="shared" si="1"/>
        <v>3.9879999996628612E-2</v>
      </c>
      <c r="H35" s="27">
        <f t="shared" si="2"/>
        <v>3.9879999996628612E-2</v>
      </c>
      <c r="K35" s="27"/>
      <c r="L35" s="27"/>
      <c r="M35" s="27"/>
      <c r="N35" s="27"/>
      <c r="O35" s="27">
        <f t="shared" ca="1" si="3"/>
        <v>6.4307267377516658E-2</v>
      </c>
      <c r="P35" s="27"/>
      <c r="Q35" s="29">
        <f t="shared" si="4"/>
        <v>22893.963000000003</v>
      </c>
    </row>
    <row r="36" spans="1:17" x14ac:dyDescent="0.2">
      <c r="A36" s="46" t="s">
        <v>57</v>
      </c>
      <c r="B36" s="47" t="s">
        <v>189</v>
      </c>
      <c r="C36" s="46">
        <v>37939.364000000001</v>
      </c>
      <c r="D36" s="46" t="s">
        <v>51</v>
      </c>
      <c r="E36" s="27">
        <f t="shared" si="0"/>
        <v>-1446.0168547316523</v>
      </c>
      <c r="F36" s="27">
        <f t="shared" si="5"/>
        <v>-1446</v>
      </c>
      <c r="G36" s="27">
        <f t="shared" si="1"/>
        <v>-5.6880000003729947E-2</v>
      </c>
      <c r="H36" s="27">
        <f t="shared" si="2"/>
        <v>-5.6880000003729947E-2</v>
      </c>
      <c r="K36" s="27"/>
      <c r="L36" s="27"/>
      <c r="M36" s="27"/>
      <c r="N36" s="27"/>
      <c r="O36" s="27">
        <f t="shared" ca="1" si="3"/>
        <v>6.3430867126295254E-2</v>
      </c>
      <c r="P36" s="27"/>
      <c r="Q36" s="29">
        <f t="shared" si="4"/>
        <v>22920.864000000001</v>
      </c>
    </row>
    <row r="37" spans="1:17" x14ac:dyDescent="0.2">
      <c r="A37" s="46" t="s">
        <v>57</v>
      </c>
      <c r="B37" s="47" t="s">
        <v>189</v>
      </c>
      <c r="C37" s="46">
        <v>37939.4</v>
      </c>
      <c r="D37" s="46" t="s">
        <v>51</v>
      </c>
      <c r="E37" s="27">
        <f t="shared" si="0"/>
        <v>-1446.0061871799739</v>
      </c>
      <c r="F37" s="27">
        <f t="shared" si="5"/>
        <v>-1446</v>
      </c>
      <c r="G37" s="27">
        <f t="shared" si="1"/>
        <v>-2.0880000003671739E-2</v>
      </c>
      <c r="H37" s="27">
        <f t="shared" si="2"/>
        <v>-2.0880000003671739E-2</v>
      </c>
      <c r="K37" s="27"/>
      <c r="L37" s="27"/>
      <c r="M37" s="27"/>
      <c r="N37" s="27"/>
      <c r="O37" s="27">
        <f t="shared" ca="1" si="3"/>
        <v>6.3430867126295254E-2</v>
      </c>
      <c r="P37" s="27"/>
      <c r="Q37" s="29">
        <f t="shared" si="4"/>
        <v>22920.9</v>
      </c>
    </row>
    <row r="38" spans="1:17" x14ac:dyDescent="0.2">
      <c r="A38" s="46" t="s">
        <v>57</v>
      </c>
      <c r="B38" s="47" t="s">
        <v>189</v>
      </c>
      <c r="C38" s="46">
        <v>38263.538</v>
      </c>
      <c r="D38" s="46" t="s">
        <v>51</v>
      </c>
      <c r="E38" s="27">
        <f t="shared" si="0"/>
        <v>-1349.9573297932875</v>
      </c>
      <c r="F38" s="27">
        <f t="shared" si="5"/>
        <v>-1350</v>
      </c>
      <c r="G38" s="27">
        <f t="shared" si="1"/>
        <v>0.14400000000023283</v>
      </c>
      <c r="H38" s="27">
        <f t="shared" si="2"/>
        <v>0.14400000000023283</v>
      </c>
      <c r="K38" s="27"/>
      <c r="L38" s="27"/>
      <c r="M38" s="27"/>
      <c r="N38" s="27"/>
      <c r="O38" s="27">
        <f t="shared" ca="1" si="3"/>
        <v>5.2914064111638265E-2</v>
      </c>
      <c r="P38" s="27"/>
      <c r="Q38" s="29">
        <f t="shared" si="4"/>
        <v>23245.038</v>
      </c>
    </row>
    <row r="39" spans="1:17" x14ac:dyDescent="0.2">
      <c r="A39" s="46" t="s">
        <v>57</v>
      </c>
      <c r="B39" s="47" t="s">
        <v>189</v>
      </c>
      <c r="C39" s="46">
        <v>38290.44</v>
      </c>
      <c r="D39" s="46" t="s">
        <v>51</v>
      </c>
      <c r="E39" s="27">
        <f t="shared" si="0"/>
        <v>-1341.9857054807512</v>
      </c>
      <c r="F39" s="27">
        <f t="shared" si="5"/>
        <v>-1342</v>
      </c>
      <c r="G39" s="27">
        <f t="shared" si="1"/>
        <v>4.8239999996440019E-2</v>
      </c>
      <c r="H39" s="27">
        <f t="shared" si="2"/>
        <v>4.8239999996440019E-2</v>
      </c>
      <c r="K39" s="27"/>
      <c r="L39" s="27"/>
      <c r="M39" s="27"/>
      <c r="N39" s="27"/>
      <c r="O39" s="27">
        <f t="shared" ca="1" si="3"/>
        <v>5.2037663860416861E-2</v>
      </c>
      <c r="P39" s="27"/>
      <c r="Q39" s="29">
        <f t="shared" si="4"/>
        <v>23271.940000000002</v>
      </c>
    </row>
    <row r="40" spans="1:17" x14ac:dyDescent="0.2">
      <c r="A40" s="46" t="s">
        <v>57</v>
      </c>
      <c r="B40" s="47" t="s">
        <v>189</v>
      </c>
      <c r="C40" s="46">
        <v>38290.466999999997</v>
      </c>
      <c r="D40" s="46" t="s">
        <v>51</v>
      </c>
      <c r="E40" s="27">
        <f t="shared" si="0"/>
        <v>-1341.9777048169942</v>
      </c>
      <c r="F40" s="27">
        <f t="shared" si="5"/>
        <v>-1342</v>
      </c>
      <c r="G40" s="27">
        <f t="shared" si="1"/>
        <v>7.5239999991026707E-2</v>
      </c>
      <c r="H40" s="27">
        <f t="shared" si="2"/>
        <v>7.5239999991026707E-2</v>
      </c>
      <c r="K40" s="27"/>
      <c r="L40" s="27"/>
      <c r="M40" s="27"/>
      <c r="N40" s="27"/>
      <c r="O40" s="27">
        <f t="shared" ca="1" si="3"/>
        <v>5.2037663860416861E-2</v>
      </c>
      <c r="P40" s="27"/>
      <c r="Q40" s="29">
        <f t="shared" si="4"/>
        <v>23271.966999999997</v>
      </c>
    </row>
    <row r="41" spans="1:17" x14ac:dyDescent="0.2">
      <c r="A41" s="46" t="s">
        <v>57</v>
      </c>
      <c r="B41" s="47" t="s">
        <v>189</v>
      </c>
      <c r="C41" s="46">
        <v>38300.438999999998</v>
      </c>
      <c r="D41" s="46" t="s">
        <v>51</v>
      </c>
      <c r="E41" s="27">
        <f t="shared" si="0"/>
        <v>-1339.0227930020876</v>
      </c>
      <c r="F41" s="27">
        <f t="shared" si="5"/>
        <v>-1339</v>
      </c>
      <c r="G41" s="27">
        <f t="shared" si="1"/>
        <v>-7.6920000006793998E-2</v>
      </c>
      <c r="H41" s="27">
        <f t="shared" si="2"/>
        <v>-7.6920000006793998E-2</v>
      </c>
      <c r="K41" s="27"/>
      <c r="L41" s="27"/>
      <c r="M41" s="27"/>
      <c r="N41" s="27"/>
      <c r="O41" s="27">
        <f t="shared" ca="1" si="3"/>
        <v>5.1709013766208817E-2</v>
      </c>
      <c r="P41" s="27"/>
      <c r="Q41" s="29">
        <f t="shared" si="4"/>
        <v>23281.938999999998</v>
      </c>
    </row>
    <row r="42" spans="1:17" x14ac:dyDescent="0.2">
      <c r="A42" s="46" t="s">
        <v>57</v>
      </c>
      <c r="B42" s="47" t="s">
        <v>189</v>
      </c>
      <c r="C42" s="46">
        <v>38300.462</v>
      </c>
      <c r="D42" s="46" t="s">
        <v>51</v>
      </c>
      <c r="E42" s="27">
        <f t="shared" si="0"/>
        <v>-1339.0159776218484</v>
      </c>
      <c r="F42" s="27">
        <f t="shared" si="5"/>
        <v>-1339</v>
      </c>
      <c r="G42" s="27">
        <f t="shared" si="1"/>
        <v>-5.392000000574626E-2</v>
      </c>
      <c r="H42" s="27">
        <f t="shared" si="2"/>
        <v>-5.392000000574626E-2</v>
      </c>
      <c r="K42" s="27"/>
      <c r="L42" s="27"/>
      <c r="M42" s="27"/>
      <c r="N42" s="27"/>
      <c r="O42" s="27">
        <f t="shared" ca="1" si="3"/>
        <v>5.1709013766208817E-2</v>
      </c>
      <c r="P42" s="27"/>
      <c r="Q42" s="29">
        <f t="shared" si="4"/>
        <v>23281.962</v>
      </c>
    </row>
    <row r="43" spans="1:17" x14ac:dyDescent="0.2">
      <c r="A43" s="46" t="s">
        <v>57</v>
      </c>
      <c r="B43" s="47" t="s">
        <v>189</v>
      </c>
      <c r="C43" s="46">
        <v>38641.478000000003</v>
      </c>
      <c r="D43" s="46" t="s">
        <v>51</v>
      </c>
      <c r="E43" s="27">
        <f t="shared" si="0"/>
        <v>-1237.9658164232885</v>
      </c>
      <c r="F43" s="27">
        <f t="shared" si="5"/>
        <v>-1238</v>
      </c>
      <c r="G43" s="27">
        <f t="shared" si="1"/>
        <v>0.11535999999614432</v>
      </c>
      <c r="H43" s="27">
        <f t="shared" si="2"/>
        <v>0.11535999999614432</v>
      </c>
      <c r="K43" s="27"/>
      <c r="L43" s="27"/>
      <c r="M43" s="27"/>
      <c r="N43" s="27"/>
      <c r="O43" s="27">
        <f t="shared" ca="1" si="3"/>
        <v>4.064446059453844E-2</v>
      </c>
      <c r="P43" s="27"/>
      <c r="Q43" s="29">
        <f t="shared" si="4"/>
        <v>23622.978000000003</v>
      </c>
    </row>
    <row r="44" spans="1:17" x14ac:dyDescent="0.2">
      <c r="A44" s="46" t="s">
        <v>57</v>
      </c>
      <c r="B44" s="47" t="s">
        <v>189</v>
      </c>
      <c r="C44" s="46">
        <v>38641.502</v>
      </c>
      <c r="D44" s="46" t="s">
        <v>51</v>
      </c>
      <c r="E44" s="27">
        <f t="shared" si="0"/>
        <v>-1237.9587047221703</v>
      </c>
      <c r="F44" s="27">
        <f t="shared" si="5"/>
        <v>-1238</v>
      </c>
      <c r="G44" s="27">
        <f t="shared" si="1"/>
        <v>0.13935999999375781</v>
      </c>
      <c r="H44" s="27">
        <f t="shared" si="2"/>
        <v>0.13935999999375781</v>
      </c>
      <c r="K44" s="27"/>
      <c r="L44" s="27"/>
      <c r="M44" s="27"/>
      <c r="N44" s="27"/>
      <c r="O44" s="27">
        <f t="shared" ca="1" si="3"/>
        <v>4.064446059453844E-2</v>
      </c>
      <c r="P44" s="27"/>
      <c r="Q44" s="29">
        <f t="shared" si="4"/>
        <v>23623.002</v>
      </c>
    </row>
    <row r="45" spans="1:17" x14ac:dyDescent="0.2">
      <c r="A45" s="46" t="s">
        <v>57</v>
      </c>
      <c r="B45" s="47" t="s">
        <v>189</v>
      </c>
      <c r="C45" s="46">
        <v>38651.478999999999</v>
      </c>
      <c r="D45" s="46" t="s">
        <v>51</v>
      </c>
      <c r="E45" s="27">
        <f t="shared" si="0"/>
        <v>-1235.0023113028649</v>
      </c>
      <c r="F45" s="27">
        <f t="shared" si="5"/>
        <v>-1235</v>
      </c>
      <c r="G45" s="27">
        <f t="shared" si="1"/>
        <v>-7.8000000066822395E-3</v>
      </c>
      <c r="H45" s="27">
        <f t="shared" si="2"/>
        <v>-7.8000000066822395E-3</v>
      </c>
      <c r="K45" s="27"/>
      <c r="L45" s="27"/>
      <c r="M45" s="27"/>
      <c r="N45" s="27"/>
      <c r="O45" s="27">
        <f t="shared" ca="1" si="3"/>
        <v>4.0315810500330423E-2</v>
      </c>
      <c r="P45" s="27"/>
      <c r="Q45" s="29">
        <f t="shared" si="4"/>
        <v>23632.978999999999</v>
      </c>
    </row>
    <row r="46" spans="1:17" x14ac:dyDescent="0.2">
      <c r="A46" s="46" t="s">
        <v>57</v>
      </c>
      <c r="B46" s="47" t="s">
        <v>189</v>
      </c>
      <c r="C46" s="46">
        <v>38651.57</v>
      </c>
      <c r="D46" s="46" t="s">
        <v>51</v>
      </c>
      <c r="E46" s="27">
        <f t="shared" si="0"/>
        <v>-1234.9753461027888</v>
      </c>
      <c r="F46" s="27">
        <f t="shared" si="5"/>
        <v>-1235</v>
      </c>
      <c r="G46" s="27">
        <f t="shared" si="1"/>
        <v>8.3199999993667006E-2</v>
      </c>
      <c r="H46" s="27">
        <f t="shared" si="2"/>
        <v>8.3199999993667006E-2</v>
      </c>
      <c r="K46" s="27"/>
      <c r="L46" s="27"/>
      <c r="M46" s="27"/>
      <c r="N46" s="27"/>
      <c r="O46" s="27">
        <f t="shared" ca="1" si="3"/>
        <v>4.0315810500330423E-2</v>
      </c>
      <c r="P46" s="27"/>
      <c r="Q46" s="29">
        <f t="shared" si="4"/>
        <v>23633.07</v>
      </c>
    </row>
    <row r="47" spans="1:17" x14ac:dyDescent="0.2">
      <c r="A47" s="46" t="s">
        <v>57</v>
      </c>
      <c r="B47" s="47" t="s">
        <v>189</v>
      </c>
      <c r="C47" s="46">
        <v>39029.400999999998</v>
      </c>
      <c r="D47" s="46" t="s">
        <v>51</v>
      </c>
      <c r="E47" s="27">
        <f t="shared" si="0"/>
        <v>-1123.0161317087063</v>
      </c>
      <c r="F47" s="27">
        <f t="shared" si="5"/>
        <v>-1123</v>
      </c>
      <c r="G47" s="27">
        <f t="shared" si="1"/>
        <v>-5.4440000007161871E-2</v>
      </c>
      <c r="H47" s="27">
        <f t="shared" si="2"/>
        <v>-5.4440000007161871E-2</v>
      </c>
      <c r="K47" s="27"/>
      <c r="L47" s="27"/>
      <c r="M47" s="27"/>
      <c r="N47" s="27"/>
      <c r="O47" s="27">
        <f t="shared" ca="1" si="3"/>
        <v>2.8046206983230612E-2</v>
      </c>
      <c r="P47" s="27"/>
      <c r="Q47" s="29">
        <f t="shared" si="4"/>
        <v>24010.900999999998</v>
      </c>
    </row>
    <row r="48" spans="1:17" x14ac:dyDescent="0.2">
      <c r="A48" s="46" t="s">
        <v>57</v>
      </c>
      <c r="B48" s="47" t="s">
        <v>189</v>
      </c>
      <c r="C48" s="46">
        <v>39029.425000000003</v>
      </c>
      <c r="D48" s="46" t="s">
        <v>51</v>
      </c>
      <c r="E48" s="27">
        <f t="shared" si="0"/>
        <v>-1123.0090200075858</v>
      </c>
      <c r="F48" s="27">
        <f t="shared" si="5"/>
        <v>-1123</v>
      </c>
      <c r="G48" s="27">
        <f t="shared" si="1"/>
        <v>-3.0440000002272427E-2</v>
      </c>
      <c r="H48" s="27">
        <f t="shared" si="2"/>
        <v>-3.0440000002272427E-2</v>
      </c>
      <c r="K48" s="27"/>
      <c r="L48" s="27"/>
      <c r="M48" s="27"/>
      <c r="N48" s="27"/>
      <c r="O48" s="27">
        <f t="shared" ca="1" si="3"/>
        <v>2.8046206983230612E-2</v>
      </c>
      <c r="P48" s="27"/>
      <c r="Q48" s="29">
        <f t="shared" si="4"/>
        <v>24010.925000000003</v>
      </c>
    </row>
    <row r="49" spans="1:30" x14ac:dyDescent="0.2">
      <c r="A49" s="46" t="s">
        <v>57</v>
      </c>
      <c r="B49" s="47" t="s">
        <v>189</v>
      </c>
      <c r="C49" s="46">
        <v>40453.491000000002</v>
      </c>
      <c r="D49" s="46" t="s">
        <v>51</v>
      </c>
      <c r="E49" s="27">
        <f t="shared" si="0"/>
        <v>-701.02852977432246</v>
      </c>
      <c r="F49" s="27">
        <f t="shared" si="5"/>
        <v>-701</v>
      </c>
      <c r="G49" s="27">
        <f t="shared" si="1"/>
        <v>-9.6280000005208421E-2</v>
      </c>
      <c r="H49" s="27">
        <f t="shared" si="2"/>
        <v>-9.6280000005208421E-2</v>
      </c>
      <c r="K49" s="27"/>
      <c r="L49" s="27"/>
      <c r="M49" s="27"/>
      <c r="N49" s="27"/>
      <c r="O49" s="27">
        <f t="shared" ca="1" si="3"/>
        <v>-1.8183906268699049E-2</v>
      </c>
      <c r="P49" s="27"/>
      <c r="Q49" s="29">
        <f t="shared" si="4"/>
        <v>25434.991000000002</v>
      </c>
    </row>
    <row r="50" spans="1:30" x14ac:dyDescent="0.2">
      <c r="A50" s="46" t="s">
        <v>57</v>
      </c>
      <c r="B50" s="47" t="s">
        <v>189</v>
      </c>
      <c r="C50" s="46">
        <v>42657.442000000003</v>
      </c>
      <c r="D50" s="46" t="s">
        <v>51</v>
      </c>
      <c r="E50" s="27">
        <f t="shared" si="0"/>
        <v>-47.951830077754757</v>
      </c>
      <c r="F50" s="27">
        <f t="shared" si="5"/>
        <v>-48</v>
      </c>
      <c r="G50" s="27">
        <f t="shared" si="1"/>
        <v>0.16255999999702908</v>
      </c>
      <c r="H50" s="27">
        <f t="shared" si="2"/>
        <v>0.16255999999702908</v>
      </c>
      <c r="K50" s="27"/>
      <c r="L50" s="27"/>
      <c r="M50" s="27"/>
      <c r="N50" s="27"/>
      <c r="O50" s="27">
        <f t="shared" ca="1" si="3"/>
        <v>-8.9720076774647065E-2</v>
      </c>
      <c r="P50" s="27"/>
      <c r="Q50" s="29">
        <f t="shared" si="4"/>
        <v>27638.942000000003</v>
      </c>
    </row>
    <row r="51" spans="1:30" x14ac:dyDescent="0.2">
      <c r="A51" s="46" t="s">
        <v>57</v>
      </c>
      <c r="B51" s="47" t="s">
        <v>189</v>
      </c>
      <c r="C51" s="46">
        <v>42657.466999999997</v>
      </c>
      <c r="D51" s="46" t="s">
        <v>51</v>
      </c>
      <c r="E51" s="27">
        <f t="shared" si="0"/>
        <v>-47.94442205575762</v>
      </c>
      <c r="F51" s="27">
        <f t="shared" si="5"/>
        <v>-48</v>
      </c>
      <c r="G51" s="27">
        <f t="shared" si="1"/>
        <v>0.18755999999120831</v>
      </c>
      <c r="H51" s="27">
        <f t="shared" si="2"/>
        <v>0.18755999999120831</v>
      </c>
      <c r="K51" s="27"/>
      <c r="L51" s="27"/>
      <c r="M51" s="27"/>
      <c r="N51" s="27"/>
      <c r="O51" s="27">
        <f t="shared" ca="1" si="3"/>
        <v>-8.9720076774647065E-2</v>
      </c>
      <c r="P51" s="27"/>
      <c r="Q51" s="29">
        <f t="shared" si="4"/>
        <v>27638.966999999997</v>
      </c>
    </row>
    <row r="52" spans="1:30" x14ac:dyDescent="0.2">
      <c r="A52" s="46" t="s">
        <v>57</v>
      </c>
      <c r="B52" s="47" t="s">
        <v>189</v>
      </c>
      <c r="C52" s="46">
        <v>42731.334999999999</v>
      </c>
      <c r="D52" s="46" t="s">
        <v>51</v>
      </c>
      <c r="E52" s="27">
        <f t="shared" si="0"/>
        <v>-26.055791295279054</v>
      </c>
      <c r="F52" s="27">
        <f t="shared" si="5"/>
        <v>-26</v>
      </c>
      <c r="G52" s="27">
        <f t="shared" si="1"/>
        <v>-0.18828000000212342</v>
      </c>
      <c r="H52" s="27">
        <f t="shared" si="2"/>
        <v>-0.18828000000212342</v>
      </c>
      <c r="K52" s="27"/>
      <c r="L52" s="27"/>
      <c r="M52" s="27"/>
      <c r="N52" s="27"/>
      <c r="O52" s="27">
        <f t="shared" ca="1" si="3"/>
        <v>-9.2130177465505961E-2</v>
      </c>
      <c r="P52" s="27"/>
      <c r="Q52" s="29">
        <f t="shared" si="4"/>
        <v>27712.834999999999</v>
      </c>
    </row>
    <row r="53" spans="1:30" x14ac:dyDescent="0.2">
      <c r="A53" s="46" t="s">
        <v>57</v>
      </c>
      <c r="B53" s="47" t="s">
        <v>189</v>
      </c>
      <c r="C53" s="46">
        <v>42731.358999999997</v>
      </c>
      <c r="D53" s="46" t="s">
        <v>51</v>
      </c>
      <c r="E53" s="27">
        <f t="shared" si="0"/>
        <v>-26.048679594160856</v>
      </c>
      <c r="F53" s="27">
        <f t="shared" si="5"/>
        <v>-26</v>
      </c>
      <c r="G53" s="27">
        <f t="shared" si="1"/>
        <v>-0.16428000000450993</v>
      </c>
      <c r="H53" s="27">
        <f t="shared" si="2"/>
        <v>-0.16428000000450993</v>
      </c>
      <c r="K53" s="27"/>
      <c r="L53" s="27"/>
      <c r="M53" s="27"/>
      <c r="N53" s="27"/>
      <c r="O53" s="27">
        <f t="shared" ca="1" si="3"/>
        <v>-9.2130177465505961E-2</v>
      </c>
      <c r="P53" s="27"/>
      <c r="Q53" s="29">
        <f t="shared" si="4"/>
        <v>27712.858999999997</v>
      </c>
    </row>
    <row r="54" spans="1:30" x14ac:dyDescent="0.2">
      <c r="A54" s="46" t="s">
        <v>57</v>
      </c>
      <c r="B54" s="47" t="s">
        <v>189</v>
      </c>
      <c r="C54" s="46">
        <v>42802.292000000001</v>
      </c>
      <c r="D54" s="46" t="s">
        <v>51</v>
      </c>
      <c r="E54" s="27">
        <f t="shared" si="0"/>
        <v>-5.029750616348017</v>
      </c>
      <c r="F54" s="27">
        <f t="shared" si="5"/>
        <v>-5</v>
      </c>
      <c r="G54" s="27">
        <f t="shared" si="1"/>
        <v>-0.10040000000299187</v>
      </c>
      <c r="H54" s="27">
        <f t="shared" si="2"/>
        <v>-0.10040000000299187</v>
      </c>
      <c r="K54" s="27"/>
      <c r="L54" s="27"/>
      <c r="M54" s="27"/>
      <c r="N54" s="27"/>
      <c r="O54" s="27">
        <f t="shared" ca="1" si="3"/>
        <v>-9.4430728124962171E-2</v>
      </c>
      <c r="P54" s="27"/>
      <c r="Q54" s="29">
        <f t="shared" si="4"/>
        <v>27783.792000000001</v>
      </c>
    </row>
    <row r="55" spans="1:30" x14ac:dyDescent="0.2">
      <c r="A55" s="46" t="s">
        <v>57</v>
      </c>
      <c r="B55" s="47" t="s">
        <v>189</v>
      </c>
      <c r="C55" s="46">
        <v>42819.197</v>
      </c>
      <c r="D55" s="46" t="s">
        <v>51</v>
      </c>
      <c r="E55" s="27">
        <f t="shared" si="0"/>
        <v>-2.0446140717790873E-2</v>
      </c>
      <c r="F55" s="27">
        <f t="shared" si="5"/>
        <v>0</v>
      </c>
      <c r="G55" s="27">
        <f t="shared" si="1"/>
        <v>-6.9000000003143214E-2</v>
      </c>
      <c r="H55" s="27">
        <f t="shared" si="2"/>
        <v>-6.9000000003143214E-2</v>
      </c>
      <c r="K55" s="27"/>
      <c r="L55" s="27"/>
      <c r="M55" s="27"/>
      <c r="N55" s="27"/>
      <c r="O55" s="27">
        <f t="shared" ca="1" si="3"/>
        <v>-9.4978478281975559E-2</v>
      </c>
      <c r="P55" s="27"/>
      <c r="Q55" s="29">
        <f t="shared" si="4"/>
        <v>27800.697</v>
      </c>
    </row>
    <row r="56" spans="1:30" x14ac:dyDescent="0.2">
      <c r="A56" s="46" t="s">
        <v>57</v>
      </c>
      <c r="B56" s="47" t="s">
        <v>189</v>
      </c>
      <c r="C56" s="46">
        <v>42819.226000000002</v>
      </c>
      <c r="D56" s="46" t="s">
        <v>51</v>
      </c>
      <c r="E56" s="27">
        <f t="shared" si="0"/>
        <v>-1.1852835198438126E-2</v>
      </c>
      <c r="F56" s="27">
        <f t="shared" si="5"/>
        <v>0</v>
      </c>
      <c r="G56" s="27">
        <f t="shared" si="1"/>
        <v>-4.0000000000873115E-2</v>
      </c>
      <c r="H56" s="27">
        <f t="shared" si="2"/>
        <v>-4.0000000000873115E-2</v>
      </c>
      <c r="K56" s="27"/>
      <c r="L56" s="27"/>
      <c r="M56" s="27"/>
      <c r="N56" s="27"/>
      <c r="O56" s="27">
        <f t="shared" ca="1" si="3"/>
        <v>-9.4978478281975559E-2</v>
      </c>
      <c r="P56" s="27"/>
      <c r="Q56" s="29">
        <f t="shared" si="4"/>
        <v>27800.726000000002</v>
      </c>
    </row>
    <row r="57" spans="1:30" x14ac:dyDescent="0.2">
      <c r="A57" s="27" t="s">
        <v>12</v>
      </c>
      <c r="B57" s="27"/>
      <c r="C57" s="28">
        <v>42819.266000000003</v>
      </c>
      <c r="D57" s="28" t="s">
        <v>14</v>
      </c>
      <c r="E57" s="27">
        <f t="shared" si="0"/>
        <v>0</v>
      </c>
      <c r="F57" s="27">
        <f t="shared" si="5"/>
        <v>0</v>
      </c>
      <c r="G57" s="27">
        <f t="shared" si="1"/>
        <v>0</v>
      </c>
      <c r="H57" s="27">
        <f t="shared" si="2"/>
        <v>0</v>
      </c>
      <c r="I57" s="27"/>
      <c r="J57" s="27"/>
      <c r="K57" s="27"/>
      <c r="L57" s="27"/>
      <c r="M57" s="27"/>
      <c r="N57" s="27"/>
      <c r="O57" s="27">
        <f t="shared" ca="1" si="3"/>
        <v>-9.4978478281975559E-2</v>
      </c>
      <c r="P57" s="27"/>
      <c r="Q57" s="29">
        <f t="shared" si="4"/>
        <v>27800.766000000003</v>
      </c>
      <c r="R57" s="27"/>
      <c r="S57" s="27"/>
    </row>
    <row r="58" spans="1:30" x14ac:dyDescent="0.2">
      <c r="A58" s="46" t="s">
        <v>57</v>
      </c>
      <c r="B58" s="47" t="s">
        <v>189</v>
      </c>
      <c r="C58" s="46">
        <v>42819.283000000003</v>
      </c>
      <c r="D58" s="46" t="s">
        <v>51</v>
      </c>
      <c r="E58" s="27">
        <f t="shared" si="0"/>
        <v>5.0374549591745022E-3</v>
      </c>
      <c r="F58" s="27">
        <f t="shared" si="5"/>
        <v>0</v>
      </c>
      <c r="G58" s="27">
        <f t="shared" si="1"/>
        <v>1.6999999999825377E-2</v>
      </c>
      <c r="H58" s="27">
        <f t="shared" si="2"/>
        <v>1.6999999999825377E-2</v>
      </c>
      <c r="K58" s="27"/>
      <c r="L58" s="27"/>
      <c r="M58" s="27"/>
      <c r="N58" s="27"/>
      <c r="O58" s="27">
        <f t="shared" ca="1" si="3"/>
        <v>-9.4978478281975559E-2</v>
      </c>
      <c r="P58" s="27"/>
      <c r="Q58" s="29">
        <f t="shared" si="4"/>
        <v>27800.783000000003</v>
      </c>
    </row>
    <row r="59" spans="1:30" x14ac:dyDescent="0.2">
      <c r="A59" s="46" t="s">
        <v>57</v>
      </c>
      <c r="B59" s="47" t="s">
        <v>189</v>
      </c>
      <c r="C59" s="46">
        <v>42826.220999999998</v>
      </c>
      <c r="D59" s="46" t="s">
        <v>51</v>
      </c>
      <c r="E59" s="27">
        <f t="shared" si="0"/>
        <v>2.0609117200818052</v>
      </c>
      <c r="F59" s="27">
        <f t="shared" si="5"/>
        <v>2</v>
      </c>
      <c r="G59" s="27">
        <f t="shared" si="1"/>
        <v>0.2055599999948754</v>
      </c>
      <c r="H59" s="27">
        <f t="shared" si="2"/>
        <v>0.2055599999948754</v>
      </c>
      <c r="K59" s="27"/>
      <c r="L59" s="27"/>
      <c r="M59" s="27"/>
      <c r="N59" s="27"/>
      <c r="O59" s="27">
        <f t="shared" ca="1" si="3"/>
        <v>-9.5197578344780917E-2</v>
      </c>
      <c r="P59" s="27"/>
      <c r="Q59" s="29">
        <f t="shared" si="4"/>
        <v>27807.720999999998</v>
      </c>
    </row>
    <row r="60" spans="1:30" x14ac:dyDescent="0.2">
      <c r="A60" s="27" t="s">
        <v>29</v>
      </c>
      <c r="B60" s="27"/>
      <c r="C60" s="28">
        <v>45559.589</v>
      </c>
      <c r="D60" s="28"/>
      <c r="E60" s="27">
        <f t="shared" si="0"/>
        <v>812.01492271951349</v>
      </c>
      <c r="F60" s="27">
        <f t="shared" si="5"/>
        <v>812</v>
      </c>
      <c r="G60" s="27">
        <f t="shared" si="1"/>
        <v>5.0359999993816018E-2</v>
      </c>
      <c r="H60" s="27"/>
      <c r="I60" s="27">
        <f>+G60</f>
        <v>5.0359999993816018E-2</v>
      </c>
      <c r="J60" s="27"/>
      <c r="K60" s="27"/>
      <c r="L60" s="27"/>
      <c r="M60" s="27"/>
      <c r="N60" s="27"/>
      <c r="O60" s="27">
        <f t="shared" ca="1" si="3"/>
        <v>-0.18393310378094921</v>
      </c>
      <c r="P60" s="27"/>
      <c r="Q60" s="29">
        <f t="shared" si="4"/>
        <v>30541.089</v>
      </c>
      <c r="R60" s="27"/>
      <c r="S60" s="27"/>
      <c r="AA60">
        <v>6</v>
      </c>
      <c r="AB60" t="s">
        <v>28</v>
      </c>
      <c r="AD60" t="s">
        <v>30</v>
      </c>
    </row>
    <row r="61" spans="1:30" x14ac:dyDescent="0.2">
      <c r="A61" s="27" t="s">
        <v>31</v>
      </c>
      <c r="B61" s="27"/>
      <c r="C61" s="28">
        <v>47449.370999999999</v>
      </c>
      <c r="D61" s="28"/>
      <c r="E61" s="27">
        <f t="shared" si="0"/>
        <v>1371.9967878816601</v>
      </c>
      <c r="F61" s="27">
        <f t="shared" si="5"/>
        <v>1372</v>
      </c>
      <c r="G61" s="27">
        <f t="shared" si="1"/>
        <v>-1.0840000002644956E-2</v>
      </c>
      <c r="H61" s="27"/>
      <c r="I61" s="27">
        <f>+G61</f>
        <v>-1.0840000002644956E-2</v>
      </c>
      <c r="J61" s="27"/>
      <c r="K61" s="27"/>
      <c r="L61" s="27"/>
      <c r="M61" s="27"/>
      <c r="N61" s="27"/>
      <c r="O61" s="27">
        <f t="shared" ca="1" si="3"/>
        <v>-0.24528112136644828</v>
      </c>
      <c r="P61" s="27"/>
      <c r="Q61" s="29">
        <f t="shared" si="4"/>
        <v>32430.870999999999</v>
      </c>
      <c r="R61" s="27"/>
      <c r="S61" s="27"/>
      <c r="AA61">
        <v>6</v>
      </c>
      <c r="AB61" t="s">
        <v>28</v>
      </c>
      <c r="AD61" t="s">
        <v>30</v>
      </c>
    </row>
    <row r="62" spans="1:30" x14ac:dyDescent="0.2">
      <c r="A62" s="46" t="s">
        <v>182</v>
      </c>
      <c r="B62" s="47" t="s">
        <v>189</v>
      </c>
      <c r="C62" s="46">
        <v>55794.602200000001</v>
      </c>
      <c r="D62" s="46" t="s">
        <v>51</v>
      </c>
      <c r="E62" s="27">
        <f t="shared" si="0"/>
        <v>3844.8630404892847</v>
      </c>
      <c r="F62" s="27">
        <f t="shared" si="5"/>
        <v>3845</v>
      </c>
      <c r="G62" s="27">
        <f t="shared" si="1"/>
        <v>-0.46220000000175787</v>
      </c>
      <c r="H62" s="27"/>
      <c r="K62" s="27">
        <f>+G62</f>
        <v>-0.46220000000175787</v>
      </c>
      <c r="L62" s="27"/>
      <c r="M62" s="27"/>
      <c r="N62" s="27"/>
      <c r="O62" s="27">
        <f t="shared" ca="1" si="3"/>
        <v>-0.51619834902526829</v>
      </c>
      <c r="P62" s="27"/>
      <c r="Q62" s="29">
        <f t="shared" si="4"/>
        <v>40776.102200000001</v>
      </c>
    </row>
    <row r="63" spans="1:30" x14ac:dyDescent="0.2">
      <c r="A63" s="30" t="s">
        <v>40</v>
      </c>
      <c r="B63" s="31"/>
      <c r="C63" s="30">
        <v>56965.537700000001</v>
      </c>
      <c r="D63" s="30">
        <v>1.0999999999999999E-2</v>
      </c>
      <c r="E63" s="27">
        <f t="shared" si="0"/>
        <v>4191.8356782192295</v>
      </c>
      <c r="F63" s="27">
        <f t="shared" si="5"/>
        <v>4192</v>
      </c>
      <c r="G63" s="27">
        <f t="shared" si="1"/>
        <v>-0.55454000000463566</v>
      </c>
      <c r="H63" s="27"/>
      <c r="K63" s="27">
        <f>+G63</f>
        <v>-0.55454000000463566</v>
      </c>
      <c r="L63" s="27"/>
      <c r="M63" s="27"/>
      <c r="N63" s="27"/>
      <c r="O63" s="27">
        <f t="shared" ca="1" si="3"/>
        <v>-0.55421220992199716</v>
      </c>
      <c r="P63" s="27"/>
      <c r="Q63" s="29">
        <f t="shared" si="4"/>
        <v>41947.037700000001</v>
      </c>
      <c r="R63" s="27"/>
      <c r="S63" s="27"/>
    </row>
    <row r="64" spans="1:30" x14ac:dyDescent="0.2">
      <c r="B64" s="13"/>
    </row>
    <row r="65" spans="2:2" x14ac:dyDescent="0.2">
      <c r="B65" s="13"/>
    </row>
    <row r="66" spans="2:2" x14ac:dyDescent="0.2">
      <c r="B66" s="13"/>
    </row>
    <row r="67" spans="2:2" x14ac:dyDescent="0.2">
      <c r="B67" s="13"/>
    </row>
    <row r="68" spans="2:2" x14ac:dyDescent="0.2">
      <c r="B68" s="13"/>
    </row>
    <row r="69" spans="2:2" x14ac:dyDescent="0.2">
      <c r="B69" s="13"/>
    </row>
    <row r="70" spans="2:2" x14ac:dyDescent="0.2">
      <c r="B70" s="13"/>
    </row>
    <row r="71" spans="2:2" x14ac:dyDescent="0.2">
      <c r="B71" s="13"/>
    </row>
    <row r="72" spans="2:2" x14ac:dyDescent="0.2">
      <c r="B72" s="13"/>
    </row>
    <row r="73" spans="2:2" x14ac:dyDescent="0.2">
      <c r="B73" s="13"/>
    </row>
    <row r="74" spans="2:2" x14ac:dyDescent="0.2">
      <c r="B74" s="13"/>
    </row>
    <row r="75" spans="2:2" x14ac:dyDescent="0.2">
      <c r="B75" s="13"/>
    </row>
    <row r="76" spans="2:2" x14ac:dyDescent="0.2">
      <c r="B76" s="13"/>
    </row>
    <row r="77" spans="2:2" x14ac:dyDescent="0.2">
      <c r="B77" s="13"/>
    </row>
    <row r="78" spans="2:2" x14ac:dyDescent="0.2">
      <c r="B78" s="13"/>
    </row>
    <row r="79" spans="2:2" x14ac:dyDescent="0.2">
      <c r="B79" s="13"/>
    </row>
    <row r="80" spans="2:2" x14ac:dyDescent="0.2">
      <c r="B80" s="13"/>
    </row>
    <row r="81" spans="2:2" x14ac:dyDescent="0.2">
      <c r="B81" s="13"/>
    </row>
    <row r="82" spans="2:2" x14ac:dyDescent="0.2">
      <c r="B82" s="13"/>
    </row>
    <row r="83" spans="2:2" x14ac:dyDescent="0.2">
      <c r="B83" s="13"/>
    </row>
    <row r="84" spans="2:2" x14ac:dyDescent="0.2">
      <c r="B84" s="13"/>
    </row>
    <row r="85" spans="2:2" x14ac:dyDescent="0.2">
      <c r="B85" s="13"/>
    </row>
    <row r="86" spans="2:2" x14ac:dyDescent="0.2">
      <c r="B86" s="13"/>
    </row>
    <row r="87" spans="2:2" x14ac:dyDescent="0.2">
      <c r="B87" s="13"/>
    </row>
    <row r="88" spans="2:2" x14ac:dyDescent="0.2">
      <c r="B88" s="13"/>
    </row>
    <row r="89" spans="2:2" x14ac:dyDescent="0.2">
      <c r="B89" s="13"/>
    </row>
    <row r="90" spans="2:2" x14ac:dyDescent="0.2">
      <c r="B90" s="13"/>
    </row>
    <row r="91" spans="2:2" x14ac:dyDescent="0.2">
      <c r="B91" s="13"/>
    </row>
    <row r="92" spans="2:2" x14ac:dyDescent="0.2">
      <c r="B92" s="13"/>
    </row>
    <row r="93" spans="2:2" x14ac:dyDescent="0.2">
      <c r="B93" s="13"/>
    </row>
    <row r="94" spans="2:2" x14ac:dyDescent="0.2">
      <c r="B94" s="13"/>
    </row>
    <row r="95" spans="2:2" x14ac:dyDescent="0.2">
      <c r="B95" s="13"/>
    </row>
    <row r="96" spans="2:2" x14ac:dyDescent="0.2">
      <c r="B96" s="13"/>
    </row>
    <row r="97" spans="2:2" x14ac:dyDescent="0.2">
      <c r="B97" s="13"/>
    </row>
    <row r="98" spans="2:2" x14ac:dyDescent="0.2">
      <c r="B98" s="13"/>
    </row>
    <row r="99" spans="2:2" x14ac:dyDescent="0.2">
      <c r="B99" s="13"/>
    </row>
    <row r="100" spans="2:2" x14ac:dyDescent="0.2">
      <c r="B100" s="13"/>
    </row>
    <row r="101" spans="2:2" x14ac:dyDescent="0.2">
      <c r="B101" s="13"/>
    </row>
    <row r="102" spans="2:2" x14ac:dyDescent="0.2">
      <c r="B102" s="13"/>
    </row>
    <row r="103" spans="2:2" x14ac:dyDescent="0.2">
      <c r="B103" s="13"/>
    </row>
    <row r="104" spans="2:2" x14ac:dyDescent="0.2">
      <c r="B104" s="13"/>
    </row>
    <row r="105" spans="2:2" x14ac:dyDescent="0.2">
      <c r="B105" s="13"/>
    </row>
    <row r="106" spans="2:2" x14ac:dyDescent="0.2">
      <c r="B106" s="13"/>
    </row>
    <row r="107" spans="2:2" x14ac:dyDescent="0.2">
      <c r="B107" s="13"/>
    </row>
    <row r="108" spans="2:2" x14ac:dyDescent="0.2">
      <c r="B108" s="13"/>
    </row>
    <row r="109" spans="2:2" x14ac:dyDescent="0.2">
      <c r="B109" s="13"/>
    </row>
    <row r="110" spans="2:2" x14ac:dyDescent="0.2">
      <c r="B110" s="13"/>
    </row>
    <row r="111" spans="2:2" x14ac:dyDescent="0.2">
      <c r="B111" s="13"/>
    </row>
    <row r="112" spans="2:2" x14ac:dyDescent="0.2">
      <c r="B112" s="13"/>
    </row>
    <row r="113" spans="2:2" x14ac:dyDescent="0.2">
      <c r="B113" s="13"/>
    </row>
    <row r="114" spans="2:2" x14ac:dyDescent="0.2">
      <c r="B114" s="13"/>
    </row>
    <row r="115" spans="2:2" x14ac:dyDescent="0.2">
      <c r="B115" s="13"/>
    </row>
    <row r="116" spans="2:2" x14ac:dyDescent="0.2">
      <c r="B116" s="13"/>
    </row>
    <row r="117" spans="2:2" x14ac:dyDescent="0.2">
      <c r="B117" s="13"/>
    </row>
    <row r="118" spans="2:2" x14ac:dyDescent="0.2">
      <c r="B118" s="13"/>
    </row>
    <row r="119" spans="2:2" x14ac:dyDescent="0.2">
      <c r="B119" s="1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1"/>
  <sheetViews>
    <sheetView topLeftCell="A5" workbookViewId="0">
      <selection activeCell="A14" sqref="A14:D52"/>
    </sheetView>
  </sheetViews>
  <sheetFormatPr defaultRowHeight="12.75" x14ac:dyDescent="0.2"/>
  <cols>
    <col min="1" max="1" width="19.7109375" style="33" customWidth="1"/>
    <col min="2" max="2" width="4.42578125" style="10" customWidth="1"/>
    <col min="3" max="3" width="12.7109375" style="33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3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41</v>
      </c>
      <c r="I1" s="34" t="s">
        <v>42</v>
      </c>
      <c r="J1" s="35" t="s">
        <v>43</v>
      </c>
    </row>
    <row r="2" spans="1:16" x14ac:dyDescent="0.2">
      <c r="I2" s="36" t="s">
        <v>44</v>
      </c>
      <c r="J2" s="37" t="s">
        <v>45</v>
      </c>
    </row>
    <row r="3" spans="1:16" x14ac:dyDescent="0.2">
      <c r="A3" s="38" t="s">
        <v>46</v>
      </c>
      <c r="I3" s="36" t="s">
        <v>47</v>
      </c>
      <c r="J3" s="37" t="s">
        <v>48</v>
      </c>
    </row>
    <row r="4" spans="1:16" x14ac:dyDescent="0.2">
      <c r="I4" s="36" t="s">
        <v>49</v>
      </c>
      <c r="J4" s="37" t="s">
        <v>48</v>
      </c>
    </row>
    <row r="5" spans="1:16" ht="13.5" thickBot="1" x14ac:dyDescent="0.25">
      <c r="I5" s="39" t="s">
        <v>50</v>
      </c>
      <c r="J5" s="40" t="s">
        <v>51</v>
      </c>
    </row>
    <row r="10" spans="1:16" ht="13.5" thickBot="1" x14ac:dyDescent="0.25"/>
    <row r="11" spans="1:16" ht="12.75" customHeight="1" thickBot="1" x14ac:dyDescent="0.25">
      <c r="A11" s="33" t="str">
        <f t="shared" ref="A11:A52" si="0">P11</f>
        <v> BBS 68 </v>
      </c>
      <c r="B11" s="13" t="str">
        <f t="shared" ref="B11:B52" si="1">IF(H11=INT(H11),"I","II")</f>
        <v>I</v>
      </c>
      <c r="C11" s="33">
        <f t="shared" ref="C11:C52" si="2">1*G11</f>
        <v>45559.589</v>
      </c>
      <c r="D11" s="10" t="str">
        <f t="shared" ref="D11:D52" si="3">VLOOKUP(F11,I$1:J$5,2,FALSE)</f>
        <v>vis</v>
      </c>
      <c r="E11" s="41">
        <f>VLOOKUP(C11,Active!C$21:E$973,3,FALSE)</f>
        <v>812.01492271951349</v>
      </c>
      <c r="F11" s="13" t="s">
        <v>50</v>
      </c>
      <c r="G11" s="10" t="str">
        <f t="shared" ref="G11:G52" si="4">MID(I11,3,LEN(I11)-3)</f>
        <v>45559.589</v>
      </c>
      <c r="H11" s="33">
        <f t="shared" ref="H11:H52" si="5">1*K11</f>
        <v>812</v>
      </c>
      <c r="I11" s="42" t="s">
        <v>166</v>
      </c>
      <c r="J11" s="43" t="s">
        <v>167</v>
      </c>
      <c r="K11" s="42">
        <v>812</v>
      </c>
      <c r="L11" s="42" t="s">
        <v>168</v>
      </c>
      <c r="M11" s="43" t="s">
        <v>169</v>
      </c>
      <c r="N11" s="43"/>
      <c r="O11" s="44" t="s">
        <v>170</v>
      </c>
      <c r="P11" s="44" t="s">
        <v>171</v>
      </c>
    </row>
    <row r="12" spans="1:16" ht="12.75" customHeight="1" thickBot="1" x14ac:dyDescent="0.25">
      <c r="A12" s="33" t="str">
        <f t="shared" si="0"/>
        <v> BBS 90 </v>
      </c>
      <c r="B12" s="13" t="str">
        <f t="shared" si="1"/>
        <v>I</v>
      </c>
      <c r="C12" s="33">
        <f t="shared" si="2"/>
        <v>47449.370999999999</v>
      </c>
      <c r="D12" s="10" t="str">
        <f t="shared" si="3"/>
        <v>vis</v>
      </c>
      <c r="E12" s="41">
        <f>VLOOKUP(C12,Active!C$21:E$973,3,FALSE)</f>
        <v>1371.9967878816601</v>
      </c>
      <c r="F12" s="13" t="s">
        <v>50</v>
      </c>
      <c r="G12" s="10" t="str">
        <f t="shared" si="4"/>
        <v>47449.371</v>
      </c>
      <c r="H12" s="33">
        <f t="shared" si="5"/>
        <v>1372</v>
      </c>
      <c r="I12" s="42" t="s">
        <v>172</v>
      </c>
      <c r="J12" s="43" t="s">
        <v>173</v>
      </c>
      <c r="K12" s="42">
        <v>1372</v>
      </c>
      <c r="L12" s="42" t="s">
        <v>174</v>
      </c>
      <c r="M12" s="43" t="s">
        <v>169</v>
      </c>
      <c r="N12" s="43"/>
      <c r="O12" s="44" t="s">
        <v>170</v>
      </c>
      <c r="P12" s="44" t="s">
        <v>175</v>
      </c>
    </row>
    <row r="13" spans="1:16" ht="12.75" customHeight="1" thickBot="1" x14ac:dyDescent="0.25">
      <c r="A13" s="33" t="str">
        <f t="shared" si="0"/>
        <v>BAVM 239 </v>
      </c>
      <c r="B13" s="13" t="str">
        <f t="shared" si="1"/>
        <v>I</v>
      </c>
      <c r="C13" s="33">
        <f t="shared" si="2"/>
        <v>56965.537700000001</v>
      </c>
      <c r="D13" s="10" t="str">
        <f t="shared" si="3"/>
        <v>vis</v>
      </c>
      <c r="E13" s="41">
        <f>VLOOKUP(C13,Active!C$21:E$973,3,FALSE)</f>
        <v>4191.8356782192295</v>
      </c>
      <c r="F13" s="13" t="s">
        <v>50</v>
      </c>
      <c r="G13" s="10" t="str">
        <f t="shared" si="4"/>
        <v>56965.5377</v>
      </c>
      <c r="H13" s="33">
        <f t="shared" si="5"/>
        <v>4192</v>
      </c>
      <c r="I13" s="42" t="s">
        <v>183</v>
      </c>
      <c r="J13" s="43" t="s">
        <v>184</v>
      </c>
      <c r="K13" s="42" t="s">
        <v>185</v>
      </c>
      <c r="L13" s="42" t="s">
        <v>186</v>
      </c>
      <c r="M13" s="43" t="s">
        <v>179</v>
      </c>
      <c r="N13" s="43" t="s">
        <v>180</v>
      </c>
      <c r="O13" s="44" t="s">
        <v>181</v>
      </c>
      <c r="P13" s="45" t="s">
        <v>187</v>
      </c>
    </row>
    <row r="14" spans="1:16" ht="12.75" customHeight="1" thickBot="1" x14ac:dyDescent="0.25">
      <c r="A14" s="33" t="str">
        <f t="shared" si="0"/>
        <v> PZP 3.710 </v>
      </c>
      <c r="B14" s="13" t="str">
        <f t="shared" si="1"/>
        <v>II</v>
      </c>
      <c r="C14" s="33">
        <f t="shared" si="2"/>
        <v>16730.407999999999</v>
      </c>
      <c r="D14" s="10" t="str">
        <f t="shared" si="3"/>
        <v>vis</v>
      </c>
      <c r="E14" s="41">
        <f>VLOOKUP(C14,Active!C$21:E$973,3,FALSE)</f>
        <v>-7730.6733595676096</v>
      </c>
      <c r="F14" s="13" t="s">
        <v>50</v>
      </c>
      <c r="G14" s="10" t="str">
        <f t="shared" si="4"/>
        <v>16730.408</v>
      </c>
      <c r="H14" s="33">
        <f t="shared" si="5"/>
        <v>-7730.5</v>
      </c>
      <c r="I14" s="42" t="s">
        <v>52</v>
      </c>
      <c r="J14" s="43" t="s">
        <v>53</v>
      </c>
      <c r="K14" s="42">
        <v>-7730.5</v>
      </c>
      <c r="L14" s="42" t="s">
        <v>54</v>
      </c>
      <c r="M14" s="43" t="s">
        <v>55</v>
      </c>
      <c r="N14" s="43"/>
      <c r="O14" s="44" t="s">
        <v>56</v>
      </c>
      <c r="P14" s="44" t="s">
        <v>57</v>
      </c>
    </row>
    <row r="15" spans="1:16" ht="12.75" customHeight="1" thickBot="1" x14ac:dyDescent="0.25">
      <c r="A15" s="33" t="str">
        <f t="shared" si="0"/>
        <v> PZP 3.710 </v>
      </c>
      <c r="B15" s="13" t="str">
        <f t="shared" si="1"/>
        <v>II</v>
      </c>
      <c r="C15" s="33">
        <f t="shared" si="2"/>
        <v>17793.437999999998</v>
      </c>
      <c r="D15" s="10" t="str">
        <f t="shared" si="3"/>
        <v>vis</v>
      </c>
      <c r="E15" s="41">
        <f>VLOOKUP(C15,Active!C$21:E$973,3,FALSE)</f>
        <v>-7415.6753745495935</v>
      </c>
      <c r="F15" s="13" t="s">
        <v>50</v>
      </c>
      <c r="G15" s="10" t="str">
        <f t="shared" si="4"/>
        <v>17793.438</v>
      </c>
      <c r="H15" s="33">
        <f t="shared" si="5"/>
        <v>-7415.5</v>
      </c>
      <c r="I15" s="42" t="s">
        <v>58</v>
      </c>
      <c r="J15" s="43" t="s">
        <v>59</v>
      </c>
      <c r="K15" s="42">
        <v>-7415.5</v>
      </c>
      <c r="L15" s="42" t="s">
        <v>60</v>
      </c>
      <c r="M15" s="43" t="s">
        <v>55</v>
      </c>
      <c r="N15" s="43"/>
      <c r="O15" s="44" t="s">
        <v>56</v>
      </c>
      <c r="P15" s="44" t="s">
        <v>57</v>
      </c>
    </row>
    <row r="16" spans="1:16" ht="12.75" customHeight="1" thickBot="1" x14ac:dyDescent="0.25">
      <c r="A16" s="33" t="str">
        <f t="shared" si="0"/>
        <v> PZP 3.710 </v>
      </c>
      <c r="B16" s="13" t="str">
        <f t="shared" si="1"/>
        <v>I</v>
      </c>
      <c r="C16" s="33">
        <f t="shared" si="2"/>
        <v>28068.288</v>
      </c>
      <c r="D16" s="10" t="str">
        <f t="shared" si="3"/>
        <v>vis</v>
      </c>
      <c r="E16" s="41">
        <f>VLOOKUP(C16,Active!C$21:E$973,3,FALSE)</f>
        <v>-4371.0227811492514</v>
      </c>
      <c r="F16" s="13" t="s">
        <v>50</v>
      </c>
      <c r="G16" s="10" t="str">
        <f t="shared" si="4"/>
        <v>28068.288</v>
      </c>
      <c r="H16" s="33">
        <f t="shared" si="5"/>
        <v>-4371</v>
      </c>
      <c r="I16" s="42" t="s">
        <v>61</v>
      </c>
      <c r="J16" s="43" t="s">
        <v>62</v>
      </c>
      <c r="K16" s="42">
        <v>-4371</v>
      </c>
      <c r="L16" s="42" t="s">
        <v>63</v>
      </c>
      <c r="M16" s="43" t="s">
        <v>55</v>
      </c>
      <c r="N16" s="43"/>
      <c r="O16" s="44" t="s">
        <v>56</v>
      </c>
      <c r="P16" s="44" t="s">
        <v>57</v>
      </c>
    </row>
    <row r="17" spans="1:16" ht="12.75" customHeight="1" thickBot="1" x14ac:dyDescent="0.25">
      <c r="A17" s="33" t="str">
        <f t="shared" si="0"/>
        <v> PZP 3.710 </v>
      </c>
      <c r="B17" s="13" t="str">
        <f t="shared" si="1"/>
        <v>I</v>
      </c>
      <c r="C17" s="33">
        <f t="shared" si="2"/>
        <v>35347.53</v>
      </c>
      <c r="D17" s="10" t="str">
        <f t="shared" si="3"/>
        <v>vis</v>
      </c>
      <c r="E17" s="41">
        <f>VLOOKUP(C17,Active!C$21:E$973,3,FALSE)</f>
        <v>-2214.0313863076062</v>
      </c>
      <c r="F17" s="13" t="s">
        <v>50</v>
      </c>
      <c r="G17" s="10" t="str">
        <f t="shared" si="4"/>
        <v>35347.530</v>
      </c>
      <c r="H17" s="33">
        <f t="shared" si="5"/>
        <v>-2214</v>
      </c>
      <c r="I17" s="42" t="s">
        <v>64</v>
      </c>
      <c r="J17" s="43" t="s">
        <v>65</v>
      </c>
      <c r="K17" s="42">
        <v>-2214</v>
      </c>
      <c r="L17" s="42" t="s">
        <v>66</v>
      </c>
      <c r="M17" s="43" t="s">
        <v>55</v>
      </c>
      <c r="N17" s="43"/>
      <c r="O17" s="44" t="s">
        <v>56</v>
      </c>
      <c r="P17" s="44" t="s">
        <v>57</v>
      </c>
    </row>
    <row r="18" spans="1:16" ht="12.75" customHeight="1" thickBot="1" x14ac:dyDescent="0.25">
      <c r="A18" s="33" t="str">
        <f t="shared" si="0"/>
        <v> PZP 3.710 </v>
      </c>
      <c r="B18" s="13" t="str">
        <f t="shared" si="1"/>
        <v>I</v>
      </c>
      <c r="C18" s="33">
        <f t="shared" si="2"/>
        <v>36866.353999999999</v>
      </c>
      <c r="D18" s="10" t="str">
        <f t="shared" si="3"/>
        <v>vis</v>
      </c>
      <c r="E18" s="41">
        <f>VLOOKUP(C18,Active!C$21:E$973,3,FALSE)</f>
        <v>-1763.9721221316152</v>
      </c>
      <c r="F18" s="13" t="s">
        <v>50</v>
      </c>
      <c r="G18" s="10" t="str">
        <f t="shared" si="4"/>
        <v>36866.354</v>
      </c>
      <c r="H18" s="33">
        <f t="shared" si="5"/>
        <v>-1764</v>
      </c>
      <c r="I18" s="42" t="s">
        <v>67</v>
      </c>
      <c r="J18" s="43" t="s">
        <v>68</v>
      </c>
      <c r="K18" s="42">
        <v>-1764</v>
      </c>
      <c r="L18" s="42" t="s">
        <v>69</v>
      </c>
      <c r="M18" s="43" t="s">
        <v>55</v>
      </c>
      <c r="N18" s="43"/>
      <c r="O18" s="44" t="s">
        <v>56</v>
      </c>
      <c r="P18" s="44" t="s">
        <v>57</v>
      </c>
    </row>
    <row r="19" spans="1:16" ht="12.75" customHeight="1" thickBot="1" x14ac:dyDescent="0.25">
      <c r="A19" s="33" t="str">
        <f t="shared" si="0"/>
        <v> PZP 3.710 </v>
      </c>
      <c r="B19" s="13" t="str">
        <f t="shared" si="1"/>
        <v>I</v>
      </c>
      <c r="C19" s="33">
        <f t="shared" si="2"/>
        <v>36920.184000000001</v>
      </c>
      <c r="D19" s="10" t="str">
        <f t="shared" si="3"/>
        <v>vis</v>
      </c>
      <c r="E19" s="41">
        <f>VLOOKUP(C19,Active!C$21:E$973,3,FALSE)</f>
        <v>-1748.0211691636646</v>
      </c>
      <c r="F19" s="13" t="s">
        <v>50</v>
      </c>
      <c r="G19" s="10" t="str">
        <f t="shared" si="4"/>
        <v>36920.184</v>
      </c>
      <c r="H19" s="33">
        <f t="shared" si="5"/>
        <v>-1748</v>
      </c>
      <c r="I19" s="42" t="s">
        <v>70</v>
      </c>
      <c r="J19" s="43" t="s">
        <v>71</v>
      </c>
      <c r="K19" s="42">
        <v>-1748</v>
      </c>
      <c r="L19" s="42" t="s">
        <v>72</v>
      </c>
      <c r="M19" s="43" t="s">
        <v>55</v>
      </c>
      <c r="N19" s="43"/>
      <c r="O19" s="44" t="s">
        <v>56</v>
      </c>
      <c r="P19" s="44" t="s">
        <v>57</v>
      </c>
    </row>
    <row r="20" spans="1:16" ht="12.75" customHeight="1" thickBot="1" x14ac:dyDescent="0.25">
      <c r="A20" s="33" t="str">
        <f t="shared" si="0"/>
        <v> PZP 3.710 </v>
      </c>
      <c r="B20" s="13" t="str">
        <f t="shared" si="1"/>
        <v>I</v>
      </c>
      <c r="C20" s="33">
        <f t="shared" si="2"/>
        <v>37193.445</v>
      </c>
      <c r="D20" s="10" t="str">
        <f t="shared" si="3"/>
        <v>vis</v>
      </c>
      <c r="E20" s="41">
        <f>VLOOKUP(C20,Active!C$21:E$973,3,FALSE)</f>
        <v>-1667.0482291864225</v>
      </c>
      <c r="F20" s="13" t="s">
        <v>50</v>
      </c>
      <c r="G20" s="10" t="str">
        <f t="shared" si="4"/>
        <v>37193.445</v>
      </c>
      <c r="H20" s="33">
        <f t="shared" si="5"/>
        <v>-1667</v>
      </c>
      <c r="I20" s="42" t="s">
        <v>73</v>
      </c>
      <c r="J20" s="43" t="s">
        <v>74</v>
      </c>
      <c r="K20" s="42">
        <v>-1667</v>
      </c>
      <c r="L20" s="42" t="s">
        <v>75</v>
      </c>
      <c r="M20" s="43" t="s">
        <v>55</v>
      </c>
      <c r="N20" s="43"/>
      <c r="O20" s="44" t="s">
        <v>56</v>
      </c>
      <c r="P20" s="44" t="s">
        <v>57</v>
      </c>
    </row>
    <row r="21" spans="1:16" ht="12.75" customHeight="1" thickBot="1" x14ac:dyDescent="0.25">
      <c r="A21" s="33" t="str">
        <f t="shared" si="0"/>
        <v> PZP 3.710 </v>
      </c>
      <c r="B21" s="13" t="str">
        <f t="shared" si="1"/>
        <v>I</v>
      </c>
      <c r="C21" s="33">
        <f t="shared" si="2"/>
        <v>37193.468999999997</v>
      </c>
      <c r="D21" s="10" t="str">
        <f t="shared" si="3"/>
        <v>vis</v>
      </c>
      <c r="E21" s="41">
        <f>VLOOKUP(C21,Active!C$21:E$973,3,FALSE)</f>
        <v>-1667.0411174853043</v>
      </c>
      <c r="F21" s="13" t="s">
        <v>50</v>
      </c>
      <c r="G21" s="10" t="str">
        <f t="shared" si="4"/>
        <v>37193.469</v>
      </c>
      <c r="H21" s="33">
        <f t="shared" si="5"/>
        <v>-1667</v>
      </c>
      <c r="I21" s="42" t="s">
        <v>76</v>
      </c>
      <c r="J21" s="43" t="s">
        <v>77</v>
      </c>
      <c r="K21" s="42">
        <v>-1667</v>
      </c>
      <c r="L21" s="42" t="s">
        <v>78</v>
      </c>
      <c r="M21" s="43" t="s">
        <v>55</v>
      </c>
      <c r="N21" s="43"/>
      <c r="O21" s="44" t="s">
        <v>56</v>
      </c>
      <c r="P21" s="44" t="s">
        <v>57</v>
      </c>
    </row>
    <row r="22" spans="1:16" ht="12.75" customHeight="1" thickBot="1" x14ac:dyDescent="0.25">
      <c r="A22" s="33" t="str">
        <f t="shared" si="0"/>
        <v> PZP 3.710 </v>
      </c>
      <c r="B22" s="13" t="str">
        <f t="shared" si="1"/>
        <v>I</v>
      </c>
      <c r="C22" s="33">
        <f t="shared" si="2"/>
        <v>37561.442000000003</v>
      </c>
      <c r="D22" s="10" t="str">
        <f t="shared" si="3"/>
        <v>vis</v>
      </c>
      <c r="E22" s="41">
        <f>VLOOKUP(C22,Active!C$21:E$973,3,FALSE)</f>
        <v>-1558.0030343258109</v>
      </c>
      <c r="F22" s="13" t="s">
        <v>50</v>
      </c>
      <c r="G22" s="10" t="str">
        <f t="shared" si="4"/>
        <v>37561.442</v>
      </c>
      <c r="H22" s="33">
        <f t="shared" si="5"/>
        <v>-1558</v>
      </c>
      <c r="I22" s="42" t="s">
        <v>79</v>
      </c>
      <c r="J22" s="43" t="s">
        <v>80</v>
      </c>
      <c r="K22" s="42">
        <v>-1558</v>
      </c>
      <c r="L22" s="42" t="s">
        <v>81</v>
      </c>
      <c r="M22" s="43" t="s">
        <v>55</v>
      </c>
      <c r="N22" s="43"/>
      <c r="O22" s="44" t="s">
        <v>56</v>
      </c>
      <c r="P22" s="44" t="s">
        <v>57</v>
      </c>
    </row>
    <row r="23" spans="1:16" ht="12.75" customHeight="1" thickBot="1" x14ac:dyDescent="0.25">
      <c r="A23" s="33" t="str">
        <f t="shared" si="0"/>
        <v> PZP 3.710 </v>
      </c>
      <c r="B23" s="13" t="str">
        <f t="shared" si="1"/>
        <v>I</v>
      </c>
      <c r="C23" s="33">
        <f t="shared" si="2"/>
        <v>37561.466999999997</v>
      </c>
      <c r="D23" s="10" t="str">
        <f t="shared" si="3"/>
        <v>vis</v>
      </c>
      <c r="E23" s="41">
        <f>VLOOKUP(C23,Active!C$21:E$973,3,FALSE)</f>
        <v>-1557.9956263038139</v>
      </c>
      <c r="F23" s="13" t="s">
        <v>50</v>
      </c>
      <c r="G23" s="10" t="str">
        <f t="shared" si="4"/>
        <v>37561.467</v>
      </c>
      <c r="H23" s="33">
        <f t="shared" si="5"/>
        <v>-1558</v>
      </c>
      <c r="I23" s="42" t="s">
        <v>82</v>
      </c>
      <c r="J23" s="43" t="s">
        <v>83</v>
      </c>
      <c r="K23" s="42">
        <v>-1558</v>
      </c>
      <c r="L23" s="42" t="s">
        <v>84</v>
      </c>
      <c r="M23" s="43" t="s">
        <v>55</v>
      </c>
      <c r="N23" s="43"/>
      <c r="O23" s="44" t="s">
        <v>56</v>
      </c>
      <c r="P23" s="44" t="s">
        <v>57</v>
      </c>
    </row>
    <row r="24" spans="1:16" ht="12.75" customHeight="1" thickBot="1" x14ac:dyDescent="0.25">
      <c r="A24" s="33" t="str">
        <f t="shared" si="0"/>
        <v> PZP 3.710 </v>
      </c>
      <c r="B24" s="13" t="str">
        <f t="shared" si="1"/>
        <v>I</v>
      </c>
      <c r="C24" s="33">
        <f t="shared" si="2"/>
        <v>37578.381999999998</v>
      </c>
      <c r="D24" s="10" t="str">
        <f t="shared" si="3"/>
        <v>vis</v>
      </c>
      <c r="E24" s="41">
        <f>VLOOKUP(C24,Active!C$21:E$973,3,FALSE)</f>
        <v>-1552.9833586193834</v>
      </c>
      <c r="F24" s="13" t="s">
        <v>50</v>
      </c>
      <c r="G24" s="10" t="str">
        <f t="shared" si="4"/>
        <v>37578.382</v>
      </c>
      <c r="H24" s="33">
        <f t="shared" si="5"/>
        <v>-1553</v>
      </c>
      <c r="I24" s="42" t="s">
        <v>85</v>
      </c>
      <c r="J24" s="43" t="s">
        <v>86</v>
      </c>
      <c r="K24" s="42">
        <v>-1553</v>
      </c>
      <c r="L24" s="42" t="s">
        <v>87</v>
      </c>
      <c r="M24" s="43" t="s">
        <v>55</v>
      </c>
      <c r="N24" s="43"/>
      <c r="O24" s="44" t="s">
        <v>56</v>
      </c>
      <c r="P24" s="44" t="s">
        <v>57</v>
      </c>
    </row>
    <row r="25" spans="1:16" ht="12.75" customHeight="1" thickBot="1" x14ac:dyDescent="0.25">
      <c r="A25" s="33" t="str">
        <f t="shared" si="0"/>
        <v> PZP 3.710 </v>
      </c>
      <c r="B25" s="13" t="str">
        <f t="shared" si="1"/>
        <v>I</v>
      </c>
      <c r="C25" s="33">
        <f t="shared" si="2"/>
        <v>37578.410000000003</v>
      </c>
      <c r="D25" s="10" t="str">
        <f t="shared" si="3"/>
        <v>vis</v>
      </c>
      <c r="E25" s="41">
        <f>VLOOKUP(C25,Active!C$21:E$973,3,FALSE)</f>
        <v>-1552.975061634743</v>
      </c>
      <c r="F25" s="13" t="s">
        <v>50</v>
      </c>
      <c r="G25" s="10" t="str">
        <f t="shared" si="4"/>
        <v>37578.410</v>
      </c>
      <c r="H25" s="33">
        <f t="shared" si="5"/>
        <v>-1553</v>
      </c>
      <c r="I25" s="42" t="s">
        <v>88</v>
      </c>
      <c r="J25" s="43" t="s">
        <v>89</v>
      </c>
      <c r="K25" s="42">
        <v>-1553</v>
      </c>
      <c r="L25" s="42" t="s">
        <v>90</v>
      </c>
      <c r="M25" s="43" t="s">
        <v>55</v>
      </c>
      <c r="N25" s="43"/>
      <c r="O25" s="44" t="s">
        <v>56</v>
      </c>
      <c r="P25" s="44" t="s">
        <v>57</v>
      </c>
    </row>
    <row r="26" spans="1:16" ht="12.75" customHeight="1" thickBot="1" x14ac:dyDescent="0.25">
      <c r="A26" s="33" t="str">
        <f t="shared" si="0"/>
        <v> PZP 3.710 </v>
      </c>
      <c r="B26" s="13" t="str">
        <f t="shared" si="1"/>
        <v>I</v>
      </c>
      <c r="C26" s="33">
        <f t="shared" si="2"/>
        <v>37605.353999999999</v>
      </c>
      <c r="D26" s="10" t="str">
        <f t="shared" si="3"/>
        <v>vis</v>
      </c>
      <c r="E26" s="41">
        <f>VLOOKUP(C26,Active!C$21:E$973,3,FALSE)</f>
        <v>-1544.9909918452506</v>
      </c>
      <c r="F26" s="13" t="s">
        <v>50</v>
      </c>
      <c r="G26" s="10" t="str">
        <f t="shared" si="4"/>
        <v>37605.354</v>
      </c>
      <c r="H26" s="33">
        <f t="shared" si="5"/>
        <v>-1545</v>
      </c>
      <c r="I26" s="42" t="s">
        <v>91</v>
      </c>
      <c r="J26" s="43" t="s">
        <v>92</v>
      </c>
      <c r="K26" s="42">
        <v>-1545</v>
      </c>
      <c r="L26" s="42" t="s">
        <v>93</v>
      </c>
      <c r="M26" s="43" t="s">
        <v>55</v>
      </c>
      <c r="N26" s="43"/>
      <c r="O26" s="44" t="s">
        <v>56</v>
      </c>
      <c r="P26" s="44" t="s">
        <v>57</v>
      </c>
    </row>
    <row r="27" spans="1:16" ht="12.75" customHeight="1" thickBot="1" x14ac:dyDescent="0.25">
      <c r="A27" s="33" t="str">
        <f t="shared" si="0"/>
        <v> PZP 3.710 </v>
      </c>
      <c r="B27" s="13" t="str">
        <f t="shared" si="1"/>
        <v>I</v>
      </c>
      <c r="C27" s="33">
        <f t="shared" si="2"/>
        <v>37905.510999999999</v>
      </c>
      <c r="D27" s="10" t="str">
        <f t="shared" si="3"/>
        <v>vis</v>
      </c>
      <c r="E27" s="41">
        <f>VLOOKUP(C27,Active!C$21:E$973,3,FALSE)</f>
        <v>-1456.0482054807524</v>
      </c>
      <c r="F27" s="13" t="s">
        <v>50</v>
      </c>
      <c r="G27" s="10" t="str">
        <f t="shared" si="4"/>
        <v>37905.511</v>
      </c>
      <c r="H27" s="33">
        <f t="shared" si="5"/>
        <v>-1456</v>
      </c>
      <c r="I27" s="42" t="s">
        <v>94</v>
      </c>
      <c r="J27" s="43" t="s">
        <v>95</v>
      </c>
      <c r="K27" s="42">
        <v>-1456</v>
      </c>
      <c r="L27" s="42" t="s">
        <v>75</v>
      </c>
      <c r="M27" s="43" t="s">
        <v>55</v>
      </c>
      <c r="N27" s="43"/>
      <c r="O27" s="44" t="s">
        <v>56</v>
      </c>
      <c r="P27" s="44" t="s">
        <v>57</v>
      </c>
    </row>
    <row r="28" spans="1:16" ht="12.75" customHeight="1" thickBot="1" x14ac:dyDescent="0.25">
      <c r="A28" s="33" t="str">
        <f t="shared" si="0"/>
        <v> PZP 3.710 </v>
      </c>
      <c r="B28" s="13" t="str">
        <f t="shared" si="1"/>
        <v>I</v>
      </c>
      <c r="C28" s="33">
        <f t="shared" si="2"/>
        <v>37912.463000000003</v>
      </c>
      <c r="D28" s="10" t="str">
        <f t="shared" si="3"/>
        <v>vis</v>
      </c>
      <c r="E28" s="41">
        <f>VLOOKUP(C28,Active!C$21:E$973,3,FALSE)</f>
        <v>-1453.9881827233073</v>
      </c>
      <c r="F28" s="13" t="s">
        <v>50</v>
      </c>
      <c r="G28" s="10" t="str">
        <f t="shared" si="4"/>
        <v>37912.463</v>
      </c>
      <c r="H28" s="33">
        <f t="shared" si="5"/>
        <v>-1454</v>
      </c>
      <c r="I28" s="42" t="s">
        <v>96</v>
      </c>
      <c r="J28" s="43" t="s">
        <v>97</v>
      </c>
      <c r="K28" s="42">
        <v>-1454</v>
      </c>
      <c r="L28" s="42" t="s">
        <v>98</v>
      </c>
      <c r="M28" s="43" t="s">
        <v>55</v>
      </c>
      <c r="N28" s="43"/>
      <c r="O28" s="44" t="s">
        <v>56</v>
      </c>
      <c r="P28" s="44" t="s">
        <v>57</v>
      </c>
    </row>
    <row r="29" spans="1:16" ht="12.75" customHeight="1" thickBot="1" x14ac:dyDescent="0.25">
      <c r="A29" s="33" t="str">
        <f t="shared" si="0"/>
        <v> PZP 3.710 </v>
      </c>
      <c r="B29" s="13" t="str">
        <f t="shared" si="1"/>
        <v>I</v>
      </c>
      <c r="C29" s="33">
        <f t="shared" si="2"/>
        <v>37939.364000000001</v>
      </c>
      <c r="D29" s="10" t="str">
        <f t="shared" si="3"/>
        <v>vis</v>
      </c>
      <c r="E29" s="41">
        <f>VLOOKUP(C29,Active!C$21:E$973,3,FALSE)</f>
        <v>-1446.0168547316523</v>
      </c>
      <c r="F29" s="13" t="s">
        <v>50</v>
      </c>
      <c r="G29" s="10" t="str">
        <f t="shared" si="4"/>
        <v>37939.364</v>
      </c>
      <c r="H29" s="33">
        <f t="shared" si="5"/>
        <v>-1446</v>
      </c>
      <c r="I29" s="42" t="s">
        <v>99</v>
      </c>
      <c r="J29" s="43" t="s">
        <v>100</v>
      </c>
      <c r="K29" s="42">
        <v>-1446</v>
      </c>
      <c r="L29" s="42" t="s">
        <v>101</v>
      </c>
      <c r="M29" s="43" t="s">
        <v>55</v>
      </c>
      <c r="N29" s="43"/>
      <c r="O29" s="44" t="s">
        <v>56</v>
      </c>
      <c r="P29" s="44" t="s">
        <v>57</v>
      </c>
    </row>
    <row r="30" spans="1:16" ht="12.75" customHeight="1" thickBot="1" x14ac:dyDescent="0.25">
      <c r="A30" s="33" t="str">
        <f t="shared" si="0"/>
        <v> PZP 3.710 </v>
      </c>
      <c r="B30" s="13" t="str">
        <f t="shared" si="1"/>
        <v>I</v>
      </c>
      <c r="C30" s="33">
        <f t="shared" si="2"/>
        <v>37939.4</v>
      </c>
      <c r="D30" s="10" t="str">
        <f t="shared" si="3"/>
        <v>vis</v>
      </c>
      <c r="E30" s="41">
        <f>VLOOKUP(C30,Active!C$21:E$973,3,FALSE)</f>
        <v>-1446.0061871799739</v>
      </c>
      <c r="F30" s="13" t="s">
        <v>50</v>
      </c>
      <c r="G30" s="10" t="str">
        <f t="shared" si="4"/>
        <v>37939.400</v>
      </c>
      <c r="H30" s="33">
        <f t="shared" si="5"/>
        <v>-1446</v>
      </c>
      <c r="I30" s="42" t="s">
        <v>102</v>
      </c>
      <c r="J30" s="43" t="s">
        <v>103</v>
      </c>
      <c r="K30" s="42">
        <v>-1446</v>
      </c>
      <c r="L30" s="42" t="s">
        <v>104</v>
      </c>
      <c r="M30" s="43" t="s">
        <v>55</v>
      </c>
      <c r="N30" s="43"/>
      <c r="O30" s="44" t="s">
        <v>56</v>
      </c>
      <c r="P30" s="44" t="s">
        <v>57</v>
      </c>
    </row>
    <row r="31" spans="1:16" ht="12.75" customHeight="1" thickBot="1" x14ac:dyDescent="0.25">
      <c r="A31" s="33" t="str">
        <f t="shared" si="0"/>
        <v> PZP 3.710 </v>
      </c>
      <c r="B31" s="13" t="str">
        <f t="shared" si="1"/>
        <v>I</v>
      </c>
      <c r="C31" s="33">
        <f t="shared" si="2"/>
        <v>38263.538</v>
      </c>
      <c r="D31" s="10" t="str">
        <f t="shared" si="3"/>
        <v>vis</v>
      </c>
      <c r="E31" s="41">
        <f>VLOOKUP(C31,Active!C$21:E$973,3,FALSE)</f>
        <v>-1349.9573297932875</v>
      </c>
      <c r="F31" s="13" t="s">
        <v>50</v>
      </c>
      <c r="G31" s="10" t="str">
        <f t="shared" si="4"/>
        <v>38263.538</v>
      </c>
      <c r="H31" s="33">
        <f t="shared" si="5"/>
        <v>-1350</v>
      </c>
      <c r="I31" s="42" t="s">
        <v>105</v>
      </c>
      <c r="J31" s="43" t="s">
        <v>106</v>
      </c>
      <c r="K31" s="42">
        <v>-1350</v>
      </c>
      <c r="L31" s="42" t="s">
        <v>107</v>
      </c>
      <c r="M31" s="43" t="s">
        <v>55</v>
      </c>
      <c r="N31" s="43"/>
      <c r="O31" s="44" t="s">
        <v>56</v>
      </c>
      <c r="P31" s="44" t="s">
        <v>57</v>
      </c>
    </row>
    <row r="32" spans="1:16" ht="12.75" customHeight="1" thickBot="1" x14ac:dyDescent="0.25">
      <c r="A32" s="33" t="str">
        <f t="shared" si="0"/>
        <v> PZP 3.710 </v>
      </c>
      <c r="B32" s="13" t="str">
        <f t="shared" si="1"/>
        <v>I</v>
      </c>
      <c r="C32" s="33">
        <f t="shared" si="2"/>
        <v>38290.44</v>
      </c>
      <c r="D32" s="10" t="str">
        <f t="shared" si="3"/>
        <v>vis</v>
      </c>
      <c r="E32" s="41">
        <f>VLOOKUP(C32,Active!C$21:E$973,3,FALSE)</f>
        <v>-1341.9857054807512</v>
      </c>
      <c r="F32" s="13" t="s">
        <v>50</v>
      </c>
      <c r="G32" s="10" t="str">
        <f t="shared" si="4"/>
        <v>38290.440</v>
      </c>
      <c r="H32" s="33">
        <f t="shared" si="5"/>
        <v>-1342</v>
      </c>
      <c r="I32" s="42" t="s">
        <v>108</v>
      </c>
      <c r="J32" s="43" t="s">
        <v>109</v>
      </c>
      <c r="K32" s="42">
        <v>-1342</v>
      </c>
      <c r="L32" s="42" t="s">
        <v>110</v>
      </c>
      <c r="M32" s="43" t="s">
        <v>55</v>
      </c>
      <c r="N32" s="43"/>
      <c r="O32" s="44" t="s">
        <v>56</v>
      </c>
      <c r="P32" s="44" t="s">
        <v>57</v>
      </c>
    </row>
    <row r="33" spans="1:16" ht="12.75" customHeight="1" thickBot="1" x14ac:dyDescent="0.25">
      <c r="A33" s="33" t="str">
        <f t="shared" si="0"/>
        <v> PZP 3.710 </v>
      </c>
      <c r="B33" s="13" t="str">
        <f t="shared" si="1"/>
        <v>I</v>
      </c>
      <c r="C33" s="33">
        <f t="shared" si="2"/>
        <v>38290.466999999997</v>
      </c>
      <c r="D33" s="10" t="str">
        <f t="shared" si="3"/>
        <v>vis</v>
      </c>
      <c r="E33" s="41">
        <f>VLOOKUP(C33,Active!C$21:E$973,3,FALSE)</f>
        <v>-1341.9777048169942</v>
      </c>
      <c r="F33" s="13" t="s">
        <v>50</v>
      </c>
      <c r="G33" s="10" t="str">
        <f t="shared" si="4"/>
        <v>38290.467</v>
      </c>
      <c r="H33" s="33">
        <f t="shared" si="5"/>
        <v>-1342</v>
      </c>
      <c r="I33" s="42" t="s">
        <v>111</v>
      </c>
      <c r="J33" s="43" t="s">
        <v>112</v>
      </c>
      <c r="K33" s="42">
        <v>-1342</v>
      </c>
      <c r="L33" s="42" t="s">
        <v>113</v>
      </c>
      <c r="M33" s="43" t="s">
        <v>55</v>
      </c>
      <c r="N33" s="43"/>
      <c r="O33" s="44" t="s">
        <v>56</v>
      </c>
      <c r="P33" s="44" t="s">
        <v>57</v>
      </c>
    </row>
    <row r="34" spans="1:16" ht="12.75" customHeight="1" thickBot="1" x14ac:dyDescent="0.25">
      <c r="A34" s="33" t="str">
        <f t="shared" si="0"/>
        <v> PZP 3.710 </v>
      </c>
      <c r="B34" s="13" t="str">
        <f t="shared" si="1"/>
        <v>I</v>
      </c>
      <c r="C34" s="33">
        <f t="shared" si="2"/>
        <v>38300.438999999998</v>
      </c>
      <c r="D34" s="10" t="str">
        <f t="shared" si="3"/>
        <v>vis</v>
      </c>
      <c r="E34" s="41">
        <f>VLOOKUP(C34,Active!C$21:E$973,3,FALSE)</f>
        <v>-1339.0227930020876</v>
      </c>
      <c r="F34" s="13" t="s">
        <v>50</v>
      </c>
      <c r="G34" s="10" t="str">
        <f t="shared" si="4"/>
        <v>38300.439</v>
      </c>
      <c r="H34" s="33">
        <f t="shared" si="5"/>
        <v>-1339</v>
      </c>
      <c r="I34" s="42" t="s">
        <v>114</v>
      </c>
      <c r="J34" s="43" t="s">
        <v>115</v>
      </c>
      <c r="K34" s="42">
        <v>-1339</v>
      </c>
      <c r="L34" s="42" t="s">
        <v>63</v>
      </c>
      <c r="M34" s="43" t="s">
        <v>55</v>
      </c>
      <c r="N34" s="43"/>
      <c r="O34" s="44" t="s">
        <v>56</v>
      </c>
      <c r="P34" s="44" t="s">
        <v>57</v>
      </c>
    </row>
    <row r="35" spans="1:16" ht="12.75" customHeight="1" thickBot="1" x14ac:dyDescent="0.25">
      <c r="A35" s="33" t="str">
        <f t="shared" si="0"/>
        <v> PZP 3.710 </v>
      </c>
      <c r="B35" s="13" t="str">
        <f t="shared" si="1"/>
        <v>I</v>
      </c>
      <c r="C35" s="33">
        <f t="shared" si="2"/>
        <v>38300.462</v>
      </c>
      <c r="D35" s="10" t="str">
        <f t="shared" si="3"/>
        <v>vis</v>
      </c>
      <c r="E35" s="41">
        <f>VLOOKUP(C35,Active!C$21:E$973,3,FALSE)</f>
        <v>-1339.0159776218484</v>
      </c>
      <c r="F35" s="13" t="s">
        <v>50</v>
      </c>
      <c r="G35" s="10" t="str">
        <f t="shared" si="4"/>
        <v>38300.462</v>
      </c>
      <c r="H35" s="33">
        <f t="shared" si="5"/>
        <v>-1339</v>
      </c>
      <c r="I35" s="42" t="s">
        <v>116</v>
      </c>
      <c r="J35" s="43" t="s">
        <v>117</v>
      </c>
      <c r="K35" s="42">
        <v>-1339</v>
      </c>
      <c r="L35" s="42" t="s">
        <v>118</v>
      </c>
      <c r="M35" s="43" t="s">
        <v>55</v>
      </c>
      <c r="N35" s="43"/>
      <c r="O35" s="44" t="s">
        <v>56</v>
      </c>
      <c r="P35" s="44" t="s">
        <v>57</v>
      </c>
    </row>
    <row r="36" spans="1:16" ht="12.75" customHeight="1" thickBot="1" x14ac:dyDescent="0.25">
      <c r="A36" s="33" t="str">
        <f t="shared" si="0"/>
        <v> PZP 3.710 </v>
      </c>
      <c r="B36" s="13" t="str">
        <f t="shared" si="1"/>
        <v>I</v>
      </c>
      <c r="C36" s="33">
        <f t="shared" si="2"/>
        <v>38641.478000000003</v>
      </c>
      <c r="D36" s="10" t="str">
        <f t="shared" si="3"/>
        <v>vis</v>
      </c>
      <c r="E36" s="41">
        <f>VLOOKUP(C36,Active!C$21:E$973,3,FALSE)</f>
        <v>-1237.9658164232885</v>
      </c>
      <c r="F36" s="13" t="s">
        <v>50</v>
      </c>
      <c r="G36" s="10" t="str">
        <f t="shared" si="4"/>
        <v>38641.478</v>
      </c>
      <c r="H36" s="33">
        <f t="shared" si="5"/>
        <v>-1238</v>
      </c>
      <c r="I36" s="42" t="s">
        <v>119</v>
      </c>
      <c r="J36" s="43" t="s">
        <v>120</v>
      </c>
      <c r="K36" s="42">
        <v>-1238</v>
      </c>
      <c r="L36" s="42" t="s">
        <v>121</v>
      </c>
      <c r="M36" s="43" t="s">
        <v>55</v>
      </c>
      <c r="N36" s="43"/>
      <c r="O36" s="44" t="s">
        <v>56</v>
      </c>
      <c r="P36" s="44" t="s">
        <v>57</v>
      </c>
    </row>
    <row r="37" spans="1:16" ht="12.75" customHeight="1" thickBot="1" x14ac:dyDescent="0.25">
      <c r="A37" s="33" t="str">
        <f t="shared" si="0"/>
        <v> PZP 3.710 </v>
      </c>
      <c r="B37" s="13" t="str">
        <f t="shared" si="1"/>
        <v>I</v>
      </c>
      <c r="C37" s="33">
        <f t="shared" si="2"/>
        <v>38641.502</v>
      </c>
      <c r="D37" s="10" t="str">
        <f t="shared" si="3"/>
        <v>vis</v>
      </c>
      <c r="E37" s="41">
        <f>VLOOKUP(C37,Active!C$21:E$973,3,FALSE)</f>
        <v>-1237.9587047221703</v>
      </c>
      <c r="F37" s="13" t="s">
        <v>50</v>
      </c>
      <c r="G37" s="10" t="str">
        <f t="shared" si="4"/>
        <v>38641.502</v>
      </c>
      <c r="H37" s="33">
        <f t="shared" si="5"/>
        <v>-1238</v>
      </c>
      <c r="I37" s="42" t="s">
        <v>122</v>
      </c>
      <c r="J37" s="43" t="s">
        <v>123</v>
      </c>
      <c r="K37" s="42">
        <v>-1238</v>
      </c>
      <c r="L37" s="42" t="s">
        <v>124</v>
      </c>
      <c r="M37" s="43" t="s">
        <v>55</v>
      </c>
      <c r="N37" s="43"/>
      <c r="O37" s="44" t="s">
        <v>56</v>
      </c>
      <c r="P37" s="44" t="s">
        <v>57</v>
      </c>
    </row>
    <row r="38" spans="1:16" ht="12.75" customHeight="1" thickBot="1" x14ac:dyDescent="0.25">
      <c r="A38" s="33" t="str">
        <f t="shared" si="0"/>
        <v> PZP 3.710 </v>
      </c>
      <c r="B38" s="13" t="str">
        <f t="shared" si="1"/>
        <v>I</v>
      </c>
      <c r="C38" s="33">
        <f t="shared" si="2"/>
        <v>38651.478999999999</v>
      </c>
      <c r="D38" s="10" t="str">
        <f t="shared" si="3"/>
        <v>vis</v>
      </c>
      <c r="E38" s="41">
        <f>VLOOKUP(C38,Active!C$21:E$973,3,FALSE)</f>
        <v>-1235.0023113028649</v>
      </c>
      <c r="F38" s="13" t="s">
        <v>50</v>
      </c>
      <c r="G38" s="10" t="str">
        <f t="shared" si="4"/>
        <v>38651.479</v>
      </c>
      <c r="H38" s="33">
        <f t="shared" si="5"/>
        <v>-1235</v>
      </c>
      <c r="I38" s="42" t="s">
        <v>125</v>
      </c>
      <c r="J38" s="43" t="s">
        <v>126</v>
      </c>
      <c r="K38" s="42">
        <v>-1235</v>
      </c>
      <c r="L38" s="42" t="s">
        <v>127</v>
      </c>
      <c r="M38" s="43" t="s">
        <v>55</v>
      </c>
      <c r="N38" s="43"/>
      <c r="O38" s="44" t="s">
        <v>56</v>
      </c>
      <c r="P38" s="44" t="s">
        <v>57</v>
      </c>
    </row>
    <row r="39" spans="1:16" ht="12.75" customHeight="1" thickBot="1" x14ac:dyDescent="0.25">
      <c r="A39" s="33" t="str">
        <f t="shared" si="0"/>
        <v> PZP 3.710 </v>
      </c>
      <c r="B39" s="13" t="str">
        <f t="shared" si="1"/>
        <v>I</v>
      </c>
      <c r="C39" s="33">
        <f t="shared" si="2"/>
        <v>38651.57</v>
      </c>
      <c r="D39" s="10" t="str">
        <f t="shared" si="3"/>
        <v>vis</v>
      </c>
      <c r="E39" s="41">
        <f>VLOOKUP(C39,Active!C$21:E$973,3,FALSE)</f>
        <v>-1234.9753461027888</v>
      </c>
      <c r="F39" s="13" t="s">
        <v>50</v>
      </c>
      <c r="G39" s="10" t="str">
        <f t="shared" si="4"/>
        <v>38651.570</v>
      </c>
      <c r="H39" s="33">
        <f t="shared" si="5"/>
        <v>-1235</v>
      </c>
      <c r="I39" s="42" t="s">
        <v>128</v>
      </c>
      <c r="J39" s="43" t="s">
        <v>129</v>
      </c>
      <c r="K39" s="42">
        <v>-1235</v>
      </c>
      <c r="L39" s="42" t="s">
        <v>130</v>
      </c>
      <c r="M39" s="43" t="s">
        <v>55</v>
      </c>
      <c r="N39" s="43"/>
      <c r="O39" s="44" t="s">
        <v>56</v>
      </c>
      <c r="P39" s="44" t="s">
        <v>57</v>
      </c>
    </row>
    <row r="40" spans="1:16" ht="12.75" customHeight="1" thickBot="1" x14ac:dyDescent="0.25">
      <c r="A40" s="33" t="str">
        <f t="shared" si="0"/>
        <v> PZP 3.710 </v>
      </c>
      <c r="B40" s="13" t="str">
        <f t="shared" si="1"/>
        <v>I</v>
      </c>
      <c r="C40" s="33">
        <f t="shared" si="2"/>
        <v>39029.400999999998</v>
      </c>
      <c r="D40" s="10" t="str">
        <f t="shared" si="3"/>
        <v>vis</v>
      </c>
      <c r="E40" s="41">
        <f>VLOOKUP(C40,Active!C$21:E$973,3,FALSE)</f>
        <v>-1123.0161317087063</v>
      </c>
      <c r="F40" s="13" t="s">
        <v>50</v>
      </c>
      <c r="G40" s="10" t="str">
        <f t="shared" si="4"/>
        <v>39029.401</v>
      </c>
      <c r="H40" s="33">
        <f t="shared" si="5"/>
        <v>-1123</v>
      </c>
      <c r="I40" s="42" t="s">
        <v>131</v>
      </c>
      <c r="J40" s="43" t="s">
        <v>132</v>
      </c>
      <c r="K40" s="42">
        <v>-1123</v>
      </c>
      <c r="L40" s="42" t="s">
        <v>118</v>
      </c>
      <c r="M40" s="43" t="s">
        <v>55</v>
      </c>
      <c r="N40" s="43"/>
      <c r="O40" s="44" t="s">
        <v>56</v>
      </c>
      <c r="P40" s="44" t="s">
        <v>57</v>
      </c>
    </row>
    <row r="41" spans="1:16" ht="12.75" customHeight="1" thickBot="1" x14ac:dyDescent="0.25">
      <c r="A41" s="33" t="str">
        <f t="shared" si="0"/>
        <v> PZP 3.710 </v>
      </c>
      <c r="B41" s="13" t="str">
        <f t="shared" si="1"/>
        <v>I</v>
      </c>
      <c r="C41" s="33">
        <f t="shared" si="2"/>
        <v>39029.425000000003</v>
      </c>
      <c r="D41" s="10" t="str">
        <f t="shared" si="3"/>
        <v>vis</v>
      </c>
      <c r="E41" s="41">
        <f>VLOOKUP(C41,Active!C$21:E$973,3,FALSE)</f>
        <v>-1123.0090200075858</v>
      </c>
      <c r="F41" s="13" t="s">
        <v>50</v>
      </c>
      <c r="G41" s="10" t="str">
        <f t="shared" si="4"/>
        <v>39029.425</v>
      </c>
      <c r="H41" s="33">
        <f t="shared" si="5"/>
        <v>-1123</v>
      </c>
      <c r="I41" s="42" t="s">
        <v>133</v>
      </c>
      <c r="J41" s="43" t="s">
        <v>134</v>
      </c>
      <c r="K41" s="42">
        <v>-1123</v>
      </c>
      <c r="L41" s="42" t="s">
        <v>135</v>
      </c>
      <c r="M41" s="43" t="s">
        <v>55</v>
      </c>
      <c r="N41" s="43"/>
      <c r="O41" s="44" t="s">
        <v>56</v>
      </c>
      <c r="P41" s="44" t="s">
        <v>57</v>
      </c>
    </row>
    <row r="42" spans="1:16" ht="12.75" customHeight="1" thickBot="1" x14ac:dyDescent="0.25">
      <c r="A42" s="33" t="str">
        <f t="shared" si="0"/>
        <v> PZP 3.710 </v>
      </c>
      <c r="B42" s="13" t="str">
        <f t="shared" si="1"/>
        <v>I</v>
      </c>
      <c r="C42" s="33">
        <f t="shared" si="2"/>
        <v>40453.491000000002</v>
      </c>
      <c r="D42" s="10" t="str">
        <f t="shared" si="3"/>
        <v>vis</v>
      </c>
      <c r="E42" s="41">
        <f>VLOOKUP(C42,Active!C$21:E$973,3,FALSE)</f>
        <v>-701.02852977432246</v>
      </c>
      <c r="F42" s="13" t="s">
        <v>50</v>
      </c>
      <c r="G42" s="10" t="str">
        <f t="shared" si="4"/>
        <v>40453.491</v>
      </c>
      <c r="H42" s="33">
        <f t="shared" si="5"/>
        <v>-701</v>
      </c>
      <c r="I42" s="42" t="s">
        <v>136</v>
      </c>
      <c r="J42" s="43" t="s">
        <v>137</v>
      </c>
      <c r="K42" s="42">
        <v>-701</v>
      </c>
      <c r="L42" s="42" t="s">
        <v>138</v>
      </c>
      <c r="M42" s="43" t="s">
        <v>55</v>
      </c>
      <c r="N42" s="43"/>
      <c r="O42" s="44" t="s">
        <v>56</v>
      </c>
      <c r="P42" s="44" t="s">
        <v>57</v>
      </c>
    </row>
    <row r="43" spans="1:16" ht="12.75" customHeight="1" thickBot="1" x14ac:dyDescent="0.25">
      <c r="A43" s="33" t="str">
        <f t="shared" si="0"/>
        <v> PZP 3.710 </v>
      </c>
      <c r="B43" s="13" t="str">
        <f t="shared" si="1"/>
        <v>I</v>
      </c>
      <c r="C43" s="33">
        <f t="shared" si="2"/>
        <v>42657.442000000003</v>
      </c>
      <c r="D43" s="10" t="str">
        <f t="shared" si="3"/>
        <v>vis</v>
      </c>
      <c r="E43" s="41">
        <f>VLOOKUP(C43,Active!C$21:E$973,3,FALSE)</f>
        <v>-47.951830077754757</v>
      </c>
      <c r="F43" s="13" t="s">
        <v>50</v>
      </c>
      <c r="G43" s="10" t="str">
        <f t="shared" si="4"/>
        <v>42657.442</v>
      </c>
      <c r="H43" s="33">
        <f t="shared" si="5"/>
        <v>-48</v>
      </c>
      <c r="I43" s="42" t="s">
        <v>139</v>
      </c>
      <c r="J43" s="43" t="s">
        <v>140</v>
      </c>
      <c r="K43" s="42">
        <v>-48</v>
      </c>
      <c r="L43" s="42" t="s">
        <v>141</v>
      </c>
      <c r="M43" s="43" t="s">
        <v>55</v>
      </c>
      <c r="N43" s="43"/>
      <c r="O43" s="44" t="s">
        <v>56</v>
      </c>
      <c r="P43" s="44" t="s">
        <v>57</v>
      </c>
    </row>
    <row r="44" spans="1:16" ht="12.75" customHeight="1" thickBot="1" x14ac:dyDescent="0.25">
      <c r="A44" s="33" t="str">
        <f t="shared" si="0"/>
        <v> PZP 3.710 </v>
      </c>
      <c r="B44" s="13" t="str">
        <f t="shared" si="1"/>
        <v>I</v>
      </c>
      <c r="C44" s="33">
        <f t="shared" si="2"/>
        <v>42657.466999999997</v>
      </c>
      <c r="D44" s="10" t="str">
        <f t="shared" si="3"/>
        <v>vis</v>
      </c>
      <c r="E44" s="41">
        <f>VLOOKUP(C44,Active!C$21:E$973,3,FALSE)</f>
        <v>-47.94442205575762</v>
      </c>
      <c r="F44" s="13" t="s">
        <v>50</v>
      </c>
      <c r="G44" s="10" t="str">
        <f t="shared" si="4"/>
        <v>42657.467</v>
      </c>
      <c r="H44" s="33">
        <f t="shared" si="5"/>
        <v>-48</v>
      </c>
      <c r="I44" s="42" t="s">
        <v>142</v>
      </c>
      <c r="J44" s="43" t="s">
        <v>143</v>
      </c>
      <c r="K44" s="42">
        <v>-48</v>
      </c>
      <c r="L44" s="42" t="s">
        <v>144</v>
      </c>
      <c r="M44" s="43" t="s">
        <v>55</v>
      </c>
      <c r="N44" s="43"/>
      <c r="O44" s="44" t="s">
        <v>56</v>
      </c>
      <c r="P44" s="44" t="s">
        <v>57</v>
      </c>
    </row>
    <row r="45" spans="1:16" ht="12.75" customHeight="1" thickBot="1" x14ac:dyDescent="0.25">
      <c r="A45" s="33" t="str">
        <f t="shared" si="0"/>
        <v> PZP 3.710 </v>
      </c>
      <c r="B45" s="13" t="str">
        <f t="shared" si="1"/>
        <v>I</v>
      </c>
      <c r="C45" s="33">
        <f t="shared" si="2"/>
        <v>42731.334999999999</v>
      </c>
      <c r="D45" s="10" t="str">
        <f t="shared" si="3"/>
        <v>vis</v>
      </c>
      <c r="E45" s="41">
        <f>VLOOKUP(C45,Active!C$21:E$973,3,FALSE)</f>
        <v>-26.055791295279054</v>
      </c>
      <c r="F45" s="13" t="s">
        <v>50</v>
      </c>
      <c r="G45" s="10" t="str">
        <f t="shared" si="4"/>
        <v>42731.335</v>
      </c>
      <c r="H45" s="33">
        <f t="shared" si="5"/>
        <v>-26</v>
      </c>
      <c r="I45" s="42" t="s">
        <v>145</v>
      </c>
      <c r="J45" s="43" t="s">
        <v>146</v>
      </c>
      <c r="K45" s="42">
        <v>-26</v>
      </c>
      <c r="L45" s="42" t="s">
        <v>147</v>
      </c>
      <c r="M45" s="43" t="s">
        <v>55</v>
      </c>
      <c r="N45" s="43"/>
      <c r="O45" s="44" t="s">
        <v>56</v>
      </c>
      <c r="P45" s="44" t="s">
        <v>57</v>
      </c>
    </row>
    <row r="46" spans="1:16" ht="12.75" customHeight="1" thickBot="1" x14ac:dyDescent="0.25">
      <c r="A46" s="33" t="str">
        <f t="shared" si="0"/>
        <v> PZP 3.710 </v>
      </c>
      <c r="B46" s="13" t="str">
        <f t="shared" si="1"/>
        <v>I</v>
      </c>
      <c r="C46" s="33">
        <f t="shared" si="2"/>
        <v>42731.358999999997</v>
      </c>
      <c r="D46" s="10" t="str">
        <f t="shared" si="3"/>
        <v>vis</v>
      </c>
      <c r="E46" s="41">
        <f>VLOOKUP(C46,Active!C$21:E$973,3,FALSE)</f>
        <v>-26.048679594160856</v>
      </c>
      <c r="F46" s="13" t="s">
        <v>50</v>
      </c>
      <c r="G46" s="10" t="str">
        <f t="shared" si="4"/>
        <v>42731.359</v>
      </c>
      <c r="H46" s="33">
        <f t="shared" si="5"/>
        <v>-26</v>
      </c>
      <c r="I46" s="42" t="s">
        <v>148</v>
      </c>
      <c r="J46" s="43" t="s">
        <v>149</v>
      </c>
      <c r="K46" s="42">
        <v>-26</v>
      </c>
      <c r="L46" s="42" t="s">
        <v>150</v>
      </c>
      <c r="M46" s="43" t="s">
        <v>55</v>
      </c>
      <c r="N46" s="43"/>
      <c r="O46" s="44" t="s">
        <v>56</v>
      </c>
      <c r="P46" s="44" t="s">
        <v>57</v>
      </c>
    </row>
    <row r="47" spans="1:16" ht="12.75" customHeight="1" thickBot="1" x14ac:dyDescent="0.25">
      <c r="A47" s="33" t="str">
        <f t="shared" si="0"/>
        <v> PZP 3.710 </v>
      </c>
      <c r="B47" s="13" t="str">
        <f t="shared" si="1"/>
        <v>I</v>
      </c>
      <c r="C47" s="33">
        <f t="shared" si="2"/>
        <v>42802.292000000001</v>
      </c>
      <c r="D47" s="10" t="str">
        <f t="shared" si="3"/>
        <v>vis</v>
      </c>
      <c r="E47" s="41">
        <f>VLOOKUP(C47,Active!C$21:E$973,3,FALSE)</f>
        <v>-5.029750616348017</v>
      </c>
      <c r="F47" s="13" t="s">
        <v>50</v>
      </c>
      <c r="G47" s="10" t="str">
        <f t="shared" si="4"/>
        <v>42802.292</v>
      </c>
      <c r="H47" s="33">
        <f t="shared" si="5"/>
        <v>-5</v>
      </c>
      <c r="I47" s="42" t="s">
        <v>151</v>
      </c>
      <c r="J47" s="43" t="s">
        <v>152</v>
      </c>
      <c r="K47" s="42">
        <v>-5</v>
      </c>
      <c r="L47" s="42" t="s">
        <v>153</v>
      </c>
      <c r="M47" s="43" t="s">
        <v>55</v>
      </c>
      <c r="N47" s="43"/>
      <c r="O47" s="44" t="s">
        <v>56</v>
      </c>
      <c r="P47" s="44" t="s">
        <v>57</v>
      </c>
    </row>
    <row r="48" spans="1:16" ht="12.75" customHeight="1" thickBot="1" x14ac:dyDescent="0.25">
      <c r="A48" s="33" t="str">
        <f t="shared" si="0"/>
        <v> PZP 3.710 </v>
      </c>
      <c r="B48" s="13" t="str">
        <f t="shared" si="1"/>
        <v>I</v>
      </c>
      <c r="C48" s="33">
        <f t="shared" si="2"/>
        <v>42819.197</v>
      </c>
      <c r="D48" s="10" t="str">
        <f t="shared" si="3"/>
        <v>vis</v>
      </c>
      <c r="E48" s="41">
        <f>VLOOKUP(C48,Active!C$21:E$973,3,FALSE)</f>
        <v>-2.0446140717790873E-2</v>
      </c>
      <c r="F48" s="13" t="s">
        <v>50</v>
      </c>
      <c r="G48" s="10" t="str">
        <f t="shared" si="4"/>
        <v>42819.197</v>
      </c>
      <c r="H48" s="33">
        <f t="shared" si="5"/>
        <v>0</v>
      </c>
      <c r="I48" s="42" t="s">
        <v>154</v>
      </c>
      <c r="J48" s="43" t="s">
        <v>155</v>
      </c>
      <c r="K48" s="42">
        <v>0</v>
      </c>
      <c r="L48" s="42" t="s">
        <v>156</v>
      </c>
      <c r="M48" s="43" t="s">
        <v>55</v>
      </c>
      <c r="N48" s="43"/>
      <c r="O48" s="44" t="s">
        <v>56</v>
      </c>
      <c r="P48" s="44" t="s">
        <v>57</v>
      </c>
    </row>
    <row r="49" spans="1:16" ht="12.75" customHeight="1" thickBot="1" x14ac:dyDescent="0.25">
      <c r="A49" s="33" t="str">
        <f t="shared" si="0"/>
        <v> PZP 3.710 </v>
      </c>
      <c r="B49" s="13" t="str">
        <f t="shared" si="1"/>
        <v>I</v>
      </c>
      <c r="C49" s="33">
        <f t="shared" si="2"/>
        <v>42819.226000000002</v>
      </c>
      <c r="D49" s="10" t="str">
        <f t="shared" si="3"/>
        <v>vis</v>
      </c>
      <c r="E49" s="41">
        <f>VLOOKUP(C49,Active!C$21:E$973,3,FALSE)</f>
        <v>-1.1852835198438126E-2</v>
      </c>
      <c r="F49" s="13" t="s">
        <v>50</v>
      </c>
      <c r="G49" s="10" t="str">
        <f t="shared" si="4"/>
        <v>42819.226</v>
      </c>
      <c r="H49" s="33">
        <f t="shared" si="5"/>
        <v>0</v>
      </c>
      <c r="I49" s="42" t="s">
        <v>157</v>
      </c>
      <c r="J49" s="43" t="s">
        <v>158</v>
      </c>
      <c r="K49" s="42">
        <v>0</v>
      </c>
      <c r="L49" s="42" t="s">
        <v>159</v>
      </c>
      <c r="M49" s="43" t="s">
        <v>55</v>
      </c>
      <c r="N49" s="43"/>
      <c r="O49" s="44" t="s">
        <v>56</v>
      </c>
      <c r="P49" s="44" t="s">
        <v>57</v>
      </c>
    </row>
    <row r="50" spans="1:16" ht="12.75" customHeight="1" thickBot="1" x14ac:dyDescent="0.25">
      <c r="A50" s="33" t="str">
        <f t="shared" si="0"/>
        <v> PZP 3.710 </v>
      </c>
      <c r="B50" s="13" t="str">
        <f t="shared" si="1"/>
        <v>I</v>
      </c>
      <c r="C50" s="33">
        <f t="shared" si="2"/>
        <v>42819.283000000003</v>
      </c>
      <c r="D50" s="10" t="str">
        <f t="shared" si="3"/>
        <v>vis</v>
      </c>
      <c r="E50" s="41">
        <f>VLOOKUP(C50,Active!C$21:E$973,3,FALSE)</f>
        <v>5.0374549591745022E-3</v>
      </c>
      <c r="F50" s="13" t="s">
        <v>50</v>
      </c>
      <c r="G50" s="10" t="str">
        <f t="shared" si="4"/>
        <v>42819.283</v>
      </c>
      <c r="H50" s="33">
        <f t="shared" si="5"/>
        <v>0</v>
      </c>
      <c r="I50" s="42" t="s">
        <v>160</v>
      </c>
      <c r="J50" s="43" t="s">
        <v>161</v>
      </c>
      <c r="K50" s="42">
        <v>0</v>
      </c>
      <c r="L50" s="42" t="s">
        <v>162</v>
      </c>
      <c r="M50" s="43" t="s">
        <v>55</v>
      </c>
      <c r="N50" s="43"/>
      <c r="O50" s="44" t="s">
        <v>56</v>
      </c>
      <c r="P50" s="44" t="s">
        <v>57</v>
      </c>
    </row>
    <row r="51" spans="1:16" ht="12.75" customHeight="1" thickBot="1" x14ac:dyDescent="0.25">
      <c r="A51" s="33" t="str">
        <f t="shared" si="0"/>
        <v> PZP 3.710 </v>
      </c>
      <c r="B51" s="13" t="str">
        <f t="shared" si="1"/>
        <v>I</v>
      </c>
      <c r="C51" s="33">
        <f t="shared" si="2"/>
        <v>42826.220999999998</v>
      </c>
      <c r="D51" s="10" t="str">
        <f t="shared" si="3"/>
        <v>vis</v>
      </c>
      <c r="E51" s="41">
        <f>VLOOKUP(C51,Active!C$21:E$973,3,FALSE)</f>
        <v>2.0609117200818052</v>
      </c>
      <c r="F51" s="13" t="s">
        <v>50</v>
      </c>
      <c r="G51" s="10" t="str">
        <f t="shared" si="4"/>
        <v>42826.221</v>
      </c>
      <c r="H51" s="33">
        <f t="shared" si="5"/>
        <v>2</v>
      </c>
      <c r="I51" s="42" t="s">
        <v>163</v>
      </c>
      <c r="J51" s="43" t="s">
        <v>164</v>
      </c>
      <c r="K51" s="42">
        <v>2</v>
      </c>
      <c r="L51" s="42" t="s">
        <v>165</v>
      </c>
      <c r="M51" s="43" t="s">
        <v>55</v>
      </c>
      <c r="N51" s="43"/>
      <c r="O51" s="44" t="s">
        <v>56</v>
      </c>
      <c r="P51" s="44" t="s">
        <v>57</v>
      </c>
    </row>
    <row r="52" spans="1:16" ht="12.75" customHeight="1" thickBot="1" x14ac:dyDescent="0.25">
      <c r="A52" s="33" t="str">
        <f t="shared" si="0"/>
        <v>BAVM 225 </v>
      </c>
      <c r="B52" s="13" t="str">
        <f t="shared" si="1"/>
        <v>I</v>
      </c>
      <c r="C52" s="33">
        <f t="shared" si="2"/>
        <v>55794.602200000001</v>
      </c>
      <c r="D52" s="10" t="str">
        <f t="shared" si="3"/>
        <v>vis</v>
      </c>
      <c r="E52" s="41">
        <f>VLOOKUP(C52,Active!C$21:E$973,3,FALSE)</f>
        <v>3844.8630404892847</v>
      </c>
      <c r="F52" s="13" t="s">
        <v>50</v>
      </c>
      <c r="G52" s="10" t="str">
        <f t="shared" si="4"/>
        <v>55794.6022</v>
      </c>
      <c r="H52" s="33">
        <f t="shared" si="5"/>
        <v>3845</v>
      </c>
      <c r="I52" s="42" t="s">
        <v>176</v>
      </c>
      <c r="J52" s="43" t="s">
        <v>177</v>
      </c>
      <c r="K52" s="42">
        <v>3845</v>
      </c>
      <c r="L52" s="42" t="s">
        <v>178</v>
      </c>
      <c r="M52" s="43" t="s">
        <v>179</v>
      </c>
      <c r="N52" s="43" t="s">
        <v>180</v>
      </c>
      <c r="O52" s="44" t="s">
        <v>181</v>
      </c>
      <c r="P52" s="45" t="s">
        <v>182</v>
      </c>
    </row>
    <row r="53" spans="1:16" x14ac:dyDescent="0.2">
      <c r="B53" s="13"/>
      <c r="F53" s="13"/>
    </row>
    <row r="54" spans="1:16" x14ac:dyDescent="0.2">
      <c r="B54" s="13"/>
      <c r="F54" s="13"/>
    </row>
    <row r="55" spans="1:16" x14ac:dyDescent="0.2">
      <c r="B55" s="13"/>
      <c r="F55" s="13"/>
    </row>
    <row r="56" spans="1:16" x14ac:dyDescent="0.2">
      <c r="B56" s="13"/>
      <c r="F56" s="13"/>
    </row>
    <row r="57" spans="1:16" x14ac:dyDescent="0.2">
      <c r="B57" s="13"/>
      <c r="F57" s="13"/>
    </row>
    <row r="58" spans="1:16" x14ac:dyDescent="0.2">
      <c r="B58" s="13"/>
      <c r="F58" s="13"/>
    </row>
    <row r="59" spans="1:16" x14ac:dyDescent="0.2">
      <c r="B59" s="13"/>
      <c r="F59" s="13"/>
    </row>
    <row r="60" spans="1:16" x14ac:dyDescent="0.2">
      <c r="B60" s="13"/>
      <c r="F60" s="13"/>
    </row>
    <row r="61" spans="1:16" x14ac:dyDescent="0.2">
      <c r="B61" s="13"/>
      <c r="F61" s="13"/>
    </row>
    <row r="62" spans="1:16" x14ac:dyDescent="0.2">
      <c r="B62" s="13"/>
      <c r="F62" s="13"/>
    </row>
    <row r="63" spans="1:16" x14ac:dyDescent="0.2">
      <c r="B63" s="13"/>
      <c r="F63" s="13"/>
    </row>
    <row r="64" spans="1:1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</sheetData>
  <phoneticPr fontId="7" type="noConversion"/>
  <hyperlinks>
    <hyperlink ref="P52" r:id="rId1" display="http://www.bav-astro.de/sfs/BAVM_link.php?BAVMnr=225"/>
    <hyperlink ref="P13" r:id="rId2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2024-01-20T03:38:21Z</dcterms:modified>
</cp:coreProperties>
</file>