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AF0223D-D606-4DCD-954C-CB22E65818C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41" i="2" l="1"/>
  <c r="F41" i="2"/>
  <c r="E37" i="2"/>
  <c r="F37" i="2"/>
  <c r="G37" i="2"/>
  <c r="N37" i="2"/>
  <c r="Q38" i="2"/>
  <c r="Q39" i="2"/>
  <c r="Q40" i="2"/>
  <c r="Q41" i="2"/>
  <c r="Q42" i="2"/>
  <c r="Q43" i="2"/>
  <c r="G11" i="2"/>
  <c r="F11" i="2"/>
  <c r="E21" i="2"/>
  <c r="F21" i="2"/>
  <c r="E23" i="2"/>
  <c r="F23" i="2"/>
  <c r="G23" i="2"/>
  <c r="I23" i="2"/>
  <c r="E24" i="2"/>
  <c r="F24" i="2"/>
  <c r="E26" i="2"/>
  <c r="F26" i="2"/>
  <c r="G26" i="2"/>
  <c r="I26" i="2"/>
  <c r="E29" i="2"/>
  <c r="F29" i="2"/>
  <c r="E30" i="2"/>
  <c r="F30" i="2"/>
  <c r="E32" i="2"/>
  <c r="F32" i="2"/>
  <c r="G32" i="2"/>
  <c r="I32" i="2"/>
  <c r="E33" i="2"/>
  <c r="F33" i="2"/>
  <c r="Q29" i="2"/>
  <c r="Q28" i="2"/>
  <c r="Q27" i="2"/>
  <c r="Q26" i="2"/>
  <c r="Q24" i="2"/>
  <c r="Q23" i="2"/>
  <c r="Q22" i="2"/>
  <c r="Q21" i="2"/>
  <c r="E25" i="2"/>
  <c r="F25" i="2"/>
  <c r="E14" i="2"/>
  <c r="Q37" i="2"/>
  <c r="Q36" i="2"/>
  <c r="Q34" i="2"/>
  <c r="C17" i="2"/>
  <c r="C7" i="2"/>
  <c r="E39" i="2"/>
  <c r="F39" i="2"/>
  <c r="Q25" i="2"/>
  <c r="Q30" i="2"/>
  <c r="Q31" i="2"/>
  <c r="Q32" i="2"/>
  <c r="Q33" i="2"/>
  <c r="Q35" i="2"/>
  <c r="E25" i="1"/>
  <c r="F25" i="1"/>
  <c r="Q26" i="1"/>
  <c r="Q22" i="1"/>
  <c r="Q23" i="1"/>
  <c r="Q24" i="1"/>
  <c r="Q25" i="1"/>
  <c r="C7" i="1"/>
  <c r="E23" i="1"/>
  <c r="F23" i="1"/>
  <c r="G23" i="1"/>
  <c r="I23" i="1"/>
  <c r="C8" i="1"/>
  <c r="E24" i="1"/>
  <c r="F24" i="1"/>
  <c r="E21" i="1"/>
  <c r="F21" i="1"/>
  <c r="C17" i="1"/>
  <c r="Q21" i="1"/>
  <c r="E35" i="2"/>
  <c r="F35" i="2"/>
  <c r="G39" i="2"/>
  <c r="N39" i="2"/>
  <c r="E42" i="2"/>
  <c r="F42" i="2"/>
  <c r="G24" i="1"/>
  <c r="I24" i="1"/>
  <c r="E22" i="1"/>
  <c r="F22" i="1"/>
  <c r="G22" i="1"/>
  <c r="I22" i="1"/>
  <c r="G29" i="2"/>
  <c r="I29" i="2"/>
  <c r="E27" i="2"/>
  <c r="F27" i="2"/>
  <c r="G27" i="2"/>
  <c r="I27" i="2"/>
  <c r="E34" i="2"/>
  <c r="F34" i="2"/>
  <c r="G34" i="2"/>
  <c r="E38" i="2"/>
  <c r="F38" i="2"/>
  <c r="G38" i="2"/>
  <c r="N38" i="2"/>
  <c r="E40" i="2"/>
  <c r="F40" i="2"/>
  <c r="G40" i="2"/>
  <c r="N40" i="2"/>
  <c r="E26" i="1"/>
  <c r="F26" i="1"/>
  <c r="G26" i="1"/>
  <c r="I26" i="1"/>
  <c r="G33" i="2"/>
  <c r="I33" i="2"/>
  <c r="E31" i="2"/>
  <c r="F31" i="2"/>
  <c r="G31" i="2"/>
  <c r="I31" i="2"/>
  <c r="G24" i="2"/>
  <c r="I24" i="2"/>
  <c r="E22" i="2"/>
  <c r="F22" i="2"/>
  <c r="G22" i="2"/>
  <c r="I22" i="2"/>
  <c r="E36" i="2"/>
  <c r="F36" i="2"/>
  <c r="G36" i="2"/>
  <c r="N36" i="2"/>
  <c r="G42" i="2"/>
  <c r="N42" i="2"/>
  <c r="G25" i="1"/>
  <c r="I25" i="1"/>
  <c r="G30" i="2"/>
  <c r="I30" i="2"/>
  <c r="E28" i="2"/>
  <c r="F28" i="2"/>
  <c r="G28" i="2"/>
  <c r="I28" i="2"/>
  <c r="G21" i="2"/>
  <c r="I21" i="2"/>
  <c r="G35" i="2"/>
  <c r="I35" i="2"/>
  <c r="G41" i="2"/>
  <c r="N41" i="2"/>
  <c r="E43" i="2"/>
  <c r="F43" i="2"/>
  <c r="G43" i="2"/>
  <c r="N43" i="2"/>
  <c r="I34" i="2"/>
  <c r="C12" i="1"/>
  <c r="C16" i="1"/>
  <c r="D18" i="1"/>
  <c r="C11" i="1"/>
  <c r="O21" i="1"/>
  <c r="O23" i="1"/>
  <c r="O24" i="1"/>
  <c r="O26" i="1"/>
  <c r="O25" i="1"/>
  <c r="O22" i="1"/>
  <c r="C15" i="1"/>
  <c r="C18" i="1"/>
  <c r="C12" i="2"/>
  <c r="C16" i="2" l="1"/>
  <c r="D18" i="2" s="1"/>
  <c r="E15" i="2"/>
  <c r="C11" i="2"/>
  <c r="O23" i="2" l="1"/>
  <c r="O31" i="2"/>
  <c r="O24" i="2"/>
  <c r="O32" i="2"/>
  <c r="O26" i="2"/>
  <c r="O30" i="2"/>
  <c r="O25" i="2"/>
  <c r="O27" i="2"/>
  <c r="O28" i="2"/>
  <c r="O21" i="2"/>
  <c r="O29" i="2"/>
  <c r="O22" i="2"/>
  <c r="O33" i="2"/>
  <c r="O39" i="2"/>
  <c r="O40" i="2"/>
  <c r="O34" i="2"/>
  <c r="O36" i="2"/>
  <c r="O38" i="2"/>
  <c r="O41" i="2"/>
  <c r="O35" i="2"/>
  <c r="C15" i="2"/>
  <c r="O37" i="2"/>
  <c r="O42" i="2"/>
  <c r="O43" i="2"/>
  <c r="C18" i="2" l="1"/>
  <c r="E16" i="2"/>
  <c r="E17" i="2" s="1"/>
</calcChain>
</file>

<file path=xl/sharedStrings.xml><?xml version="1.0" encoding="utf-8"?>
<sst xmlns="http://schemas.openxmlformats.org/spreadsheetml/2006/main" count="138" uniqueCount="58">
  <si>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</si>
  <si>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</si>
  <si>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</si>
  <si>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</si>
  <si>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</si>
  <si>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</si>
  <si>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</si>
  <si>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</si>
  <si>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</si>
  <si>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</si>
  <si>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</si>
  <si>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</si>
  <si>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</si>
  <si>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</si>
  <si>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</si>
  <si>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</si>
  <si>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</si>
  <si>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</si>
  <si>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</si>
  <si>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</si>
  <si>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</si>
  <si>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</si>
  <si>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</si>
  <si>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</si>
  <si>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</si>
  <si>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</si>
  <si>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</si>
  <si>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</si>
  <si>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</si>
  <si>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</si>
  <si>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</si>
  <si>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</si>
  <si>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</si>
  <si>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</si>
  <si>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SV Cen / gsc 8973-0116</t>
  </si>
  <si>
    <t>IBVS 5507</t>
  </si>
  <si>
    <t>II</t>
  </si>
  <si>
    <t>I</t>
  </si>
  <si>
    <t>EB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</si>
  <si>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</si>
  <si>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</si>
  <si>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</si>
  <si>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</si>
  <si>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</si>
  <si>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</si>
  <si>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</si>
  <si>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</si>
  <si>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5809</t>
  </si>
  <si>
    <t>OEJV 0073</t>
  </si>
  <si>
    <t>Period checked 2009-12-31 by ToMcat</t>
  </si>
  <si>
    <t>Add cycle</t>
  </si>
  <si>
    <t>Old Cycle</t>
  </si>
  <si>
    <t>IBVS 1162</t>
  </si>
  <si>
    <t>IBVS 1842</t>
  </si>
  <si>
    <t>IBVS 3868</t>
  </si>
  <si>
    <t>OEJV 0168</t>
  </si>
  <si>
    <t>OEJV 0116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</si>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</sst>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0" fillId="0" borderId="1" xfId="0" applyBorder="1" applyAlignment="1"/>
    <xf numFmtId="0" fontId="10" fillId="2" borderId="1" xfId="0" applyFont="1" applyFill="1" applyBorder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0" fillId="3" borderId="1" xfId="0" applyFont="1" applyFill="1" applyBorder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172" fontId="5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4" borderId="1" xfId="0" applyFont="1" applyFill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Cen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1421712046357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B9-44A9-B3D4-C52F3D9DD3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-3.6787879133553361</c:v>
                </c:pt>
                <c:pt idx="1">
                  <c:v>-3.6597776729540783</c:v>
                </c:pt>
                <c:pt idx="2">
                  <c:v>-3.5604180634763907</c:v>
                </c:pt>
                <c:pt idx="3">
                  <c:v>-3.3409831318858778</c:v>
                </c:pt>
                <c:pt idx="5">
                  <c:v>-3.1862831372054643</c:v>
                </c:pt>
                <c:pt idx="6">
                  <c:v>-3.1816156674249214</c:v>
                </c:pt>
                <c:pt idx="7">
                  <c:v>-3.6968488910642918</c:v>
                </c:pt>
                <c:pt idx="8">
                  <c:v>-3.6943814212863799</c:v>
                </c:pt>
                <c:pt idx="9">
                  <c:v>-3.5696471137925982</c:v>
                </c:pt>
                <c:pt idx="10">
                  <c:v>-3.5410302591335494</c:v>
                </c:pt>
                <c:pt idx="11">
                  <c:v>-3.5489356806647265</c:v>
                </c:pt>
                <c:pt idx="12">
                  <c:v>-3.5298579760055873</c:v>
                </c:pt>
                <c:pt idx="13">
                  <c:v>-3.5388297013705596</c:v>
                </c:pt>
                <c:pt idx="14">
                  <c:v>-3.556495973127312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B9-44A9-B3D4-C52F3D9DD3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B9-44A9-B3D4-C52F3D9DD3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B9-44A9-B3D4-C52F3D9DD3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B9-44A9-B3D4-C52F3D9DD3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B9-44A9-B3D4-C52F3D9DD3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5">
                  <c:v>-3.5781032092490932</c:v>
                </c:pt>
                <c:pt idx="16">
                  <c:v>-3.6400098501617322</c:v>
                </c:pt>
                <c:pt idx="17">
                  <c:v>-3.7927979548549047</c:v>
                </c:pt>
                <c:pt idx="18">
                  <c:v>-3.7917079548569745</c:v>
                </c:pt>
                <c:pt idx="19">
                  <c:v>-3.7899179548549</c:v>
                </c:pt>
                <c:pt idx="20">
                  <c:v>-3.8038726553568267</c:v>
                </c:pt>
                <c:pt idx="21">
                  <c:v>-3.8037926553588477</c:v>
                </c:pt>
                <c:pt idx="22">
                  <c:v>-3.8019126553554088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B9-44A9-B3D4-C52F3D9DD3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-2.5552997447259092</c:v>
                </c:pt>
                <c:pt idx="1">
                  <c:v>-2.5577557852638848</c:v>
                </c:pt>
                <c:pt idx="2">
                  <c:v>-2.6851190303046213</c:v>
                </c:pt>
                <c:pt idx="3">
                  <c:v>-2.7209070495722663</c:v>
                </c:pt>
                <c:pt idx="4">
                  <c:v>-2.7237139530442382</c:v>
                </c:pt>
                <c:pt idx="5">
                  <c:v>-2.7442043483896348</c:v>
                </c:pt>
                <c:pt idx="6">
                  <c:v>-2.7446253839104306</c:v>
                </c:pt>
                <c:pt idx="7">
                  <c:v>-3.1436968850380715</c:v>
                </c:pt>
                <c:pt idx="8">
                  <c:v>-3.1441179205588674</c:v>
                </c:pt>
                <c:pt idx="9">
                  <c:v>-3.2756915208075621</c:v>
                </c:pt>
                <c:pt idx="10">
                  <c:v>-3.3311278643790123</c:v>
                </c:pt>
                <c:pt idx="11">
                  <c:v>-3.3311980369658114</c:v>
                </c:pt>
                <c:pt idx="12">
                  <c:v>-3.3573724118419515</c:v>
                </c:pt>
                <c:pt idx="13">
                  <c:v>-3.5265585186150732</c:v>
                </c:pt>
                <c:pt idx="14">
                  <c:v>-3.555890659897182</c:v>
                </c:pt>
                <c:pt idx="15">
                  <c:v>-3.5870472884360733</c:v>
                </c:pt>
                <c:pt idx="16">
                  <c:v>-3.6505534794894432</c:v>
                </c:pt>
                <c:pt idx="17">
                  <c:v>-3.7925126225844346</c:v>
                </c:pt>
                <c:pt idx="18">
                  <c:v>-3.7925126225844346</c:v>
                </c:pt>
                <c:pt idx="19">
                  <c:v>-3.7925126225844346</c:v>
                </c:pt>
                <c:pt idx="20">
                  <c:v>-3.7999509167851606</c:v>
                </c:pt>
                <c:pt idx="21">
                  <c:v>-3.7999509167851606</c:v>
                </c:pt>
                <c:pt idx="22">
                  <c:v>-3.7999509167851606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B9-44A9-B3D4-C52F3D9D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768048"/>
        <c:axId val="1"/>
      </c:scatterChart>
      <c:valAx>
        <c:axId val="502768048"/>
        <c:scaling>
          <c:orientation val="minMax"/>
          <c:max val="7000"/>
          <c:min val="5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3.5"/>
          <c:min val="-3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76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9387802695907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Cen - O-C Diagr.</a:t>
            </a:r>
          </a:p>
        </c:rich>
      </c:tx>
      <c:layout>
        <c:manualLayout>
          <c:xMode val="edge"/>
          <c:yMode val="edge"/>
          <c:x val="0.37580645161290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2096774193548383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3-4568-A93B-674031E849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-3.6787879133553361</c:v>
                </c:pt>
                <c:pt idx="1">
                  <c:v>-3.6597776729540783</c:v>
                </c:pt>
                <c:pt idx="2">
                  <c:v>-3.5604180634763907</c:v>
                </c:pt>
                <c:pt idx="3">
                  <c:v>-3.3409831318858778</c:v>
                </c:pt>
                <c:pt idx="5">
                  <c:v>-3.1862831372054643</c:v>
                </c:pt>
                <c:pt idx="6">
                  <c:v>-3.1816156674249214</c:v>
                </c:pt>
                <c:pt idx="7">
                  <c:v>-3.6968488910642918</c:v>
                </c:pt>
                <c:pt idx="8">
                  <c:v>-3.6943814212863799</c:v>
                </c:pt>
                <c:pt idx="9">
                  <c:v>-3.5696471137925982</c:v>
                </c:pt>
                <c:pt idx="10">
                  <c:v>-3.5410302591335494</c:v>
                </c:pt>
                <c:pt idx="11">
                  <c:v>-3.5489356806647265</c:v>
                </c:pt>
                <c:pt idx="12">
                  <c:v>-3.5298579760055873</c:v>
                </c:pt>
                <c:pt idx="13">
                  <c:v>-3.5388297013705596</c:v>
                </c:pt>
                <c:pt idx="14">
                  <c:v>-3.556495973127312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13-4568-A93B-674031E849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13-4568-A93B-674031E849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13-4568-A93B-674031E849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13-4568-A93B-674031E849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13-4568-A93B-674031E849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6.9999999999999999E-4</c:v>
                  </c:pt>
                  <c:pt idx="8">
                    <c:v>5.0000000000000001E-4</c:v>
                  </c:pt>
                  <c:pt idx="9">
                    <c:v>6.1000000000000004E-3</c:v>
                  </c:pt>
                  <c:pt idx="10">
                    <c:v>2.0999999999999999E-3</c:v>
                  </c:pt>
                  <c:pt idx="11">
                    <c:v>4.1000000000000003E-3</c:v>
                  </c:pt>
                  <c:pt idx="12">
                    <c:v>5.7999999999999996E-3</c:v>
                  </c:pt>
                  <c:pt idx="13">
                    <c:v>1E-3</c:v>
                  </c:pt>
                  <c:pt idx="14">
                    <c:v>2E-3</c:v>
                  </c:pt>
                  <c:pt idx="15">
                    <c:v>5.0000000000000001E-3</c:v>
                  </c:pt>
                  <c:pt idx="16">
                    <c:v>5.0000000000000001E-3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5">
                  <c:v>-3.5781032092490932</c:v>
                </c:pt>
                <c:pt idx="16">
                  <c:v>-3.6400098501617322</c:v>
                </c:pt>
                <c:pt idx="17">
                  <c:v>-3.7927979548549047</c:v>
                </c:pt>
                <c:pt idx="18">
                  <c:v>-3.7917079548569745</c:v>
                </c:pt>
                <c:pt idx="19">
                  <c:v>-3.7899179548549</c:v>
                </c:pt>
                <c:pt idx="20">
                  <c:v>-3.8038726553568267</c:v>
                </c:pt>
                <c:pt idx="21">
                  <c:v>-3.8037926553588477</c:v>
                </c:pt>
                <c:pt idx="22">
                  <c:v>-3.8019126553554088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13-4568-A93B-674031E849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-1200</c:v>
                </c:pt>
                <c:pt idx="1">
                  <c:v>-1182.5</c:v>
                </c:pt>
                <c:pt idx="2">
                  <c:v>-275</c:v>
                </c:pt>
                <c:pt idx="3">
                  <c:v>-20</c:v>
                </c:pt>
                <c:pt idx="4">
                  <c:v>0</c:v>
                </c:pt>
                <c:pt idx="5">
                  <c:v>146</c:v>
                </c:pt>
                <c:pt idx="6">
                  <c:v>149</c:v>
                </c:pt>
                <c:pt idx="7">
                  <c:v>2992.5</c:v>
                </c:pt>
                <c:pt idx="8">
                  <c:v>2995.5</c:v>
                </c:pt>
                <c:pt idx="9">
                  <c:v>3933</c:v>
                </c:pt>
                <c:pt idx="10">
                  <c:v>4328</c:v>
                </c:pt>
                <c:pt idx="11">
                  <c:v>4328.5</c:v>
                </c:pt>
                <c:pt idx="12">
                  <c:v>4515</c:v>
                </c:pt>
                <c:pt idx="13">
                  <c:v>5720.5</c:v>
                </c:pt>
                <c:pt idx="14">
                  <c:v>5929.5</c:v>
                </c:pt>
                <c:pt idx="15">
                  <c:v>6151.5</c:v>
                </c:pt>
                <c:pt idx="16">
                  <c:v>6604</c:v>
                </c:pt>
                <c:pt idx="17">
                  <c:v>7615.5</c:v>
                </c:pt>
                <c:pt idx="18">
                  <c:v>7615.5</c:v>
                </c:pt>
                <c:pt idx="19">
                  <c:v>7615.5</c:v>
                </c:pt>
                <c:pt idx="20">
                  <c:v>7668.5</c:v>
                </c:pt>
                <c:pt idx="21">
                  <c:v>7668.5</c:v>
                </c:pt>
                <c:pt idx="22">
                  <c:v>7668.5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-2.5552997447259092</c:v>
                </c:pt>
                <c:pt idx="1">
                  <c:v>-2.5577557852638848</c:v>
                </c:pt>
                <c:pt idx="2">
                  <c:v>-2.6851190303046213</c:v>
                </c:pt>
                <c:pt idx="3">
                  <c:v>-2.7209070495722663</c:v>
                </c:pt>
                <c:pt idx="4">
                  <c:v>-2.7237139530442382</c:v>
                </c:pt>
                <c:pt idx="5">
                  <c:v>-2.7442043483896348</c:v>
                </c:pt>
                <c:pt idx="6">
                  <c:v>-2.7446253839104306</c:v>
                </c:pt>
                <c:pt idx="7">
                  <c:v>-3.1436968850380715</c:v>
                </c:pt>
                <c:pt idx="8">
                  <c:v>-3.1441179205588674</c:v>
                </c:pt>
                <c:pt idx="9">
                  <c:v>-3.2756915208075621</c:v>
                </c:pt>
                <c:pt idx="10">
                  <c:v>-3.3311278643790123</c:v>
                </c:pt>
                <c:pt idx="11">
                  <c:v>-3.3311980369658114</c:v>
                </c:pt>
                <c:pt idx="12">
                  <c:v>-3.3573724118419515</c:v>
                </c:pt>
                <c:pt idx="13">
                  <c:v>-3.5265585186150732</c:v>
                </c:pt>
                <c:pt idx="14">
                  <c:v>-3.555890659897182</c:v>
                </c:pt>
                <c:pt idx="15">
                  <c:v>-3.5870472884360733</c:v>
                </c:pt>
                <c:pt idx="16">
                  <c:v>-3.6505534794894432</c:v>
                </c:pt>
                <c:pt idx="17">
                  <c:v>-3.7925126225844346</c:v>
                </c:pt>
                <c:pt idx="18">
                  <c:v>-3.7925126225844346</c:v>
                </c:pt>
                <c:pt idx="19">
                  <c:v>-3.7925126225844346</c:v>
                </c:pt>
                <c:pt idx="20">
                  <c:v>-3.7999509167851606</c:v>
                </c:pt>
                <c:pt idx="21">
                  <c:v>-3.7999509167851606</c:v>
                </c:pt>
                <c:pt idx="22">
                  <c:v>-3.7999509167851606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13-4568-A93B-674031E84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769848"/>
        <c:axId val="1"/>
      </c:scatterChart>
      <c:valAx>
        <c:axId val="502769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769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16129032258064"/>
          <c:y val="0.92073298764483702"/>
          <c:w val="0.722580645161290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Cen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1673149479653"/>
          <c:y val="0.14678942920199375"/>
          <c:w val="0.83844977285832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2-494B-B99A-404D8A6547A2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-2.9204499998231768</c:v>
                </c:pt>
                <c:pt idx="2">
                  <c:v>-3.243049999968207</c:v>
                </c:pt>
                <c:pt idx="3">
                  <c:v>-3.251399999804562</c:v>
                </c:pt>
                <c:pt idx="4">
                  <c:v>-3.3981500000081724</c:v>
                </c:pt>
                <c:pt idx="5">
                  <c:v>-4.6824999999953434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F2-494B-B99A-404D8A6547A2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F2-494B-B99A-404D8A6547A2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F2-494B-B99A-404D8A6547A2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F2-494B-B99A-404D8A6547A2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F2-494B-B99A-404D8A6547A2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2.0999999999999999E-3</c:v>
                  </c:pt>
                  <c:pt idx="3">
                    <c:v>4.1000000000000003E-3</c:v>
                  </c:pt>
                  <c:pt idx="4">
                    <c:v>5.7999999999999996E-3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F2-494B-B99A-404D8A6547A2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4325.5</c:v>
                </c:pt>
                <c:pt idx="3">
                  <c:v>4326</c:v>
                </c:pt>
                <c:pt idx="4">
                  <c:v>4512.5</c:v>
                </c:pt>
                <c:pt idx="5">
                  <c:v>5927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0.59483370797001545</c:v>
                </c:pt>
                <c:pt idx="1">
                  <c:v>-2.8999962865701501</c:v>
                </c:pt>
                <c:pt idx="2">
                  <c:v>-3.2512131413833711</c:v>
                </c:pt>
                <c:pt idx="3">
                  <c:v>-3.2516577196806029</c:v>
                </c:pt>
                <c:pt idx="4">
                  <c:v>-3.4174854245481114</c:v>
                </c:pt>
                <c:pt idx="5">
                  <c:v>-4.6751974274172277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F2-494B-B99A-404D8A654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71296"/>
        <c:axId val="1"/>
      </c:scatterChart>
      <c:valAx>
        <c:axId val="58677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771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01470918719973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9526</xdr:rowOff>
    </xdr:from>
    <xdr:to>
      <xdr:col>17</xdr:col>
      <xdr:colOff>342900</xdr:colOff>
      <xdr:row>18</xdr:row>
      <xdr:rowOff>28575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53BB4E6D-E47F-5A5F-8A4B-7CEE67CFA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66675</xdr:rowOff>
    </xdr:from>
    <xdr:to>
      <xdr:col>26</xdr:col>
      <xdr:colOff>676275</xdr:colOff>
      <xdr:row>18</xdr:row>
      <xdr:rowOff>76200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801462C1-6528-FBE0-3316-9AC5B93BE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8566AB-FDBE-9CC3-3A8F-031FA4A2B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34</v>
      </c>
    </row>
    <row r="2" spans="1:7">
      <c r="A2" t="s">
        <v>26</v>
      </c>
      <c r="B2" t="s">
        <v>38</v>
      </c>
      <c r="C2" s="6" t="s">
        <v>32</v>
      </c>
      <c r="D2" s="6" t="s">
        <v>32</v>
      </c>
    </row>
    <row r="3" spans="1:7" ht="13.5" thickBot="1"/>
    <row r="4" spans="1:7" ht="14.25" thickTop="1" thickBot="1">
      <c r="A4" s="8" t="s">
        <v>0</v>
      </c>
      <c r="C4" s="13">
        <v>44061.06</v>
      </c>
      <c r="D4" s="14">
        <v>1.6585000000000001</v>
      </c>
    </row>
    <row r="5" spans="1:7">
      <c r="C5" s="42" t="s">
        <v>49</v>
      </c>
    </row>
    <row r="6" spans="1:7">
      <c r="A6" s="8" t="s">
        <v>1</v>
      </c>
    </row>
    <row r="7" spans="1:7">
      <c r="A7" t="s">
        <v>2</v>
      </c>
      <c r="C7">
        <f>+C4</f>
        <v>44061.06</v>
      </c>
    </row>
    <row r="8" spans="1:7">
      <c r="A8" t="s">
        <v>3</v>
      </c>
      <c r="C8">
        <v>1.6576108434055363</v>
      </c>
    </row>
    <row r="9" spans="1:7">
      <c r="A9" s="25" t="s">
        <v>40</v>
      </c>
      <c r="B9" s="26"/>
      <c r="C9" s="27">
        <v>-9.5</v>
      </c>
      <c r="D9" s="26" t="s">
        <v>41</v>
      </c>
      <c r="E9" s="26"/>
    </row>
    <row r="10" spans="1:7" ht="13.5" thickBot="1">
      <c r="A10" s="26"/>
      <c r="B10" s="26"/>
      <c r="C10" s="7" t="s">
        <v>21</v>
      </c>
      <c r="D10" s="7" t="s">
        <v>22</v>
      </c>
      <c r="E10" s="26"/>
    </row>
    <row r="11" spans="1:7">
      <c r="A11" s="26" t="s">
        <v>16</v>
      </c>
      <c r="B11" s="26"/>
      <c r="C11" s="28">
        <f ca="1">INTERCEPT(INDIRECT($G$11):G992,INDIRECT($F$11):F992)</f>
        <v>-2.7237139530442382</v>
      </c>
      <c r="D11" s="6"/>
      <c r="E11" s="26"/>
      <c r="F11" s="29" t="str">
        <f>"F"&amp;E19</f>
        <v>F34</v>
      </c>
      <c r="G11" s="30" t="str">
        <f>"G"&amp;E19</f>
        <v>G34</v>
      </c>
    </row>
    <row r="12" spans="1:7">
      <c r="A12" s="26" t="s">
        <v>17</v>
      </c>
      <c r="B12" s="26"/>
      <c r="C12" s="28">
        <f ca="1">SLOPE(INDIRECT($G$11):G992,INDIRECT($F$11):F992)</f>
        <v>-1.4034517359860763E-4</v>
      </c>
      <c r="D12" s="6"/>
      <c r="E12" s="26"/>
    </row>
    <row r="13" spans="1:7">
      <c r="A13" s="26" t="s">
        <v>20</v>
      </c>
      <c r="B13" s="26"/>
      <c r="C13" s="6" t="s">
        <v>14</v>
      </c>
      <c r="D13" s="32" t="s">
        <v>50</v>
      </c>
      <c r="E13" s="27">
        <v>1</v>
      </c>
    </row>
    <row r="14" spans="1:7">
      <c r="A14" s="26"/>
      <c r="B14" s="26"/>
      <c r="C14" s="26"/>
      <c r="D14" s="32" t="s">
        <v>42</v>
      </c>
      <c r="E14" s="33">
        <f ca="1">NOW()+15018.5+$C$9/24</f>
        <v>60331.785324421297</v>
      </c>
    </row>
    <row r="15" spans="1:7">
      <c r="A15" s="31" t="s">
        <v>18</v>
      </c>
      <c r="B15" s="26"/>
      <c r="C15" s="11">
        <f ca="1">(C7+C11)+(C8+C12)*INT(MAX(F21:F3533))</f>
        <v>56767.820066489454</v>
      </c>
      <c r="D15" s="32" t="s">
        <v>51</v>
      </c>
      <c r="E15" s="33">
        <f ca="1">ROUND(2*(E14-$C$7)/$C$8,0)/2+E13</f>
        <v>9817</v>
      </c>
    </row>
    <row r="16" spans="1:7">
      <c r="A16" s="34" t="s">
        <v>4</v>
      </c>
      <c r="B16" s="26"/>
      <c r="C16" s="12">
        <f ca="1">+C8+C12</f>
        <v>1.6574704982319377</v>
      </c>
      <c r="D16" s="32" t="s">
        <v>43</v>
      </c>
      <c r="E16" s="30">
        <f ca="1">ROUND(2*(E14-$C$15)/$C$16,0)/2+E13</f>
        <v>2151</v>
      </c>
    </row>
    <row r="17" spans="1:17" ht="13.5" thickBot="1">
      <c r="A17" s="32" t="s">
        <v>33</v>
      </c>
      <c r="B17" s="26"/>
      <c r="C17" s="26">
        <f>COUNT(C21:C2191)</f>
        <v>23</v>
      </c>
      <c r="D17" s="32" t="s">
        <v>44</v>
      </c>
      <c r="E17" s="35">
        <f ca="1">+$C$15+$C$16*E16-15018.5-$C$9/24</f>
        <v>45314.934941519685</v>
      </c>
    </row>
    <row r="18" spans="1:17" ht="14.25" thickTop="1" thickBot="1">
      <c r="A18" s="34" t="s">
        <v>5</v>
      </c>
      <c r="B18" s="26"/>
      <c r="C18" s="36">
        <f ca="1">+C15</f>
        <v>56767.820066489454</v>
      </c>
      <c r="D18" s="37">
        <f ca="1">+C16</f>
        <v>1.6574704982319377</v>
      </c>
      <c r="E18" s="38" t="s">
        <v>45</v>
      </c>
    </row>
    <row r="19" spans="1:17" ht="13.5" thickTop="1">
      <c r="A19" s="39" t="s">
        <v>46</v>
      </c>
      <c r="E19" s="40">
        <v>34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57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>
      <c r="A21" s="44" t="s">
        <v>52</v>
      </c>
      <c r="B21" s="45" t="s">
        <v>36</v>
      </c>
      <c r="C21" s="44">
        <v>42068.248200000002</v>
      </c>
      <c r="D21" s="44">
        <v>5.0000000000000001E-4</v>
      </c>
      <c r="E21">
        <f t="shared" ref="E21:E43" si="0">+(C21-C$7)/C$8</f>
        <v>-1202.2193314721533</v>
      </c>
      <c r="F21" s="20">
        <f>ROUND(2*E21,0)/2+2</f>
        <v>-1200</v>
      </c>
      <c r="G21" s="19">
        <f>+C21-(C$7+F21*C$8)</f>
        <v>-3.6787879133553361</v>
      </c>
      <c r="I21">
        <f>+G21</f>
        <v>-3.6787879133553361</v>
      </c>
      <c r="O21">
        <f t="shared" ref="O21:O33" ca="1" si="1">+C$11+C$12*$F21</f>
        <v>-2.5552997447259092</v>
      </c>
      <c r="Q21" s="2">
        <f t="shared" ref="Q21:Q43" si="2">+C21-15018.5</f>
        <v>27049.748200000002</v>
      </c>
    </row>
    <row r="22" spans="1:17">
      <c r="A22" s="44" t="s">
        <v>52</v>
      </c>
      <c r="B22" s="45" t="s">
        <v>37</v>
      </c>
      <c r="C22" s="44">
        <v>42097.275399999999</v>
      </c>
      <c r="D22" s="44">
        <v>5.9999999999999995E-4</v>
      </c>
      <c r="E22" s="19">
        <f t="shared" si="0"/>
        <v>-1184.7078630141157</v>
      </c>
      <c r="F22" s="20">
        <f>ROUND(2*E22,0)/2+2</f>
        <v>-1182.5</v>
      </c>
      <c r="G22" s="19">
        <f>+C22-(C$7+F22*C$8)</f>
        <v>-3.6597776729540783</v>
      </c>
      <c r="H22" s="19"/>
      <c r="I22">
        <f>+G22</f>
        <v>-3.6597776729540783</v>
      </c>
      <c r="O22">
        <f t="shared" ca="1" si="1"/>
        <v>-2.5577557852638848</v>
      </c>
      <c r="Q22" s="2">
        <f t="shared" si="2"/>
        <v>27078.775399999999</v>
      </c>
    </row>
    <row r="23" spans="1:17">
      <c r="A23" s="44" t="s">
        <v>53</v>
      </c>
      <c r="B23" s="45" t="s">
        <v>14</v>
      </c>
      <c r="C23" s="44">
        <v>43601.656600000002</v>
      </c>
      <c r="D23" s="44">
        <v>1.8E-3</v>
      </c>
      <c r="E23" s="19">
        <f t="shared" si="0"/>
        <v>-277.14792155688258</v>
      </c>
      <c r="F23" s="20">
        <f>ROUND(2*E23,0)/2+2</f>
        <v>-275</v>
      </c>
      <c r="G23" s="19">
        <f>+C23-(C$7+F23*C$8)</f>
        <v>-3.5604180634763907</v>
      </c>
      <c r="H23" s="19"/>
      <c r="I23">
        <f>+G23</f>
        <v>-3.5604180634763907</v>
      </c>
      <c r="O23">
        <f t="shared" ca="1" si="1"/>
        <v>-2.6851190303046213</v>
      </c>
      <c r="Q23" s="2">
        <f t="shared" si="2"/>
        <v>28583.156600000002</v>
      </c>
    </row>
    <row r="24" spans="1:17">
      <c r="A24" s="44" t="s">
        <v>53</v>
      </c>
      <c r="B24" s="45" t="s">
        <v>14</v>
      </c>
      <c r="C24" s="44">
        <v>44024.566800000001</v>
      </c>
      <c r="D24" s="44">
        <v>2.9999999999999997E-4</v>
      </c>
      <c r="E24" s="19">
        <f t="shared" si="0"/>
        <v>-22.01554131066278</v>
      </c>
      <c r="F24" s="20">
        <f>ROUND(2*E24,0)/2+2</f>
        <v>-20</v>
      </c>
      <c r="G24" s="19">
        <f>+C24-(C$7+F24*C$8)</f>
        <v>-3.3409831318858778</v>
      </c>
      <c r="H24" s="19"/>
      <c r="I24">
        <f>+G24</f>
        <v>-3.3409831318858778</v>
      </c>
      <c r="O24">
        <f t="shared" ca="1" si="1"/>
        <v>-2.7209070495722663</v>
      </c>
      <c r="Q24" s="2">
        <f t="shared" si="2"/>
        <v>29006.066800000001</v>
      </c>
    </row>
    <row r="25" spans="1:17">
      <c r="A25" s="46" t="s">
        <v>12</v>
      </c>
      <c r="B25" s="46"/>
      <c r="C25" s="23">
        <v>44061.06</v>
      </c>
      <c r="D25" s="23" t="s">
        <v>14</v>
      </c>
      <c r="E25" s="19">
        <f t="shared" si="0"/>
        <v>0</v>
      </c>
      <c r="F25" s="20">
        <f>ROUND(2*E25,0)/2</f>
        <v>0</v>
      </c>
      <c r="G25" s="19"/>
      <c r="H25" s="19"/>
      <c r="O25">
        <f t="shared" ca="1" si="1"/>
        <v>-2.7237139530442382</v>
      </c>
      <c r="Q25" s="2">
        <f t="shared" si="2"/>
        <v>29042.559999999998</v>
      </c>
    </row>
    <row r="26" spans="1:17">
      <c r="A26" s="44" t="s">
        <v>53</v>
      </c>
      <c r="B26" s="45" t="s">
        <v>14</v>
      </c>
      <c r="C26" s="44">
        <v>44299.884899999997</v>
      </c>
      <c r="D26" s="44">
        <v>2E-3</v>
      </c>
      <c r="E26" s="19">
        <f t="shared" si="0"/>
        <v>144.07778577831783</v>
      </c>
      <c r="F26" s="20">
        <f t="shared" ref="F26:F37" si="3">ROUND(2*E26,0)/2+2</f>
        <v>146</v>
      </c>
      <c r="G26" s="19">
        <f t="shared" ref="G26:G43" si="4">+C26-(C$7+F26*C$8)</f>
        <v>-3.1862831372054643</v>
      </c>
      <c r="H26" s="19"/>
      <c r="I26">
        <f t="shared" ref="I26:I35" si="5">+G26</f>
        <v>-3.1862831372054643</v>
      </c>
      <c r="O26">
        <f t="shared" ca="1" si="1"/>
        <v>-2.7442043483896348</v>
      </c>
      <c r="Q26" s="2">
        <f t="shared" si="2"/>
        <v>29281.384899999997</v>
      </c>
    </row>
    <row r="27" spans="1:17">
      <c r="A27" s="44" t="s">
        <v>53</v>
      </c>
      <c r="B27" s="45" t="s">
        <v>14</v>
      </c>
      <c r="C27" s="44">
        <v>44304.862399999998</v>
      </c>
      <c r="D27" s="44">
        <v>2.0000000000000001E-4</v>
      </c>
      <c r="E27" s="19">
        <f t="shared" si="0"/>
        <v>147.08060155971961</v>
      </c>
      <c r="F27" s="20">
        <f t="shared" si="3"/>
        <v>149</v>
      </c>
      <c r="G27" s="19">
        <f t="shared" si="4"/>
        <v>-3.1816156674249214</v>
      </c>
      <c r="H27" s="19"/>
      <c r="I27">
        <f t="shared" si="5"/>
        <v>-3.1816156674249214</v>
      </c>
      <c r="O27">
        <f t="shared" ca="1" si="1"/>
        <v>-2.7446253839104306</v>
      </c>
      <c r="Q27" s="2">
        <f t="shared" si="2"/>
        <v>29286.362399999998</v>
      </c>
    </row>
    <row r="28" spans="1:17">
      <c r="A28" s="44" t="s">
        <v>54</v>
      </c>
      <c r="B28" s="45" t="s">
        <v>37</v>
      </c>
      <c r="C28" s="44">
        <v>49017.763599999998</v>
      </c>
      <c r="D28" s="44">
        <v>6.9999999999999999E-4</v>
      </c>
      <c r="E28" s="19">
        <f t="shared" si="0"/>
        <v>2990.2697727390155</v>
      </c>
      <c r="F28" s="20">
        <f t="shared" si="3"/>
        <v>2992.5</v>
      </c>
      <c r="G28" s="19">
        <f t="shared" si="4"/>
        <v>-3.6968488910642918</v>
      </c>
      <c r="H28" s="19"/>
      <c r="I28">
        <f t="shared" si="5"/>
        <v>-3.6968488910642918</v>
      </c>
      <c r="O28">
        <f t="shared" ca="1" si="1"/>
        <v>-3.1436968850380715</v>
      </c>
      <c r="Q28" s="2">
        <f t="shared" si="2"/>
        <v>33999.263599999998</v>
      </c>
    </row>
    <row r="29" spans="1:17">
      <c r="A29" s="44" t="s">
        <v>54</v>
      </c>
      <c r="B29" s="45" t="s">
        <v>36</v>
      </c>
      <c r="C29" s="44">
        <v>49022.738899999997</v>
      </c>
      <c r="D29" s="44">
        <v>5.0000000000000001E-4</v>
      </c>
      <c r="E29" s="19">
        <f t="shared" si="0"/>
        <v>2993.2712613090207</v>
      </c>
      <c r="F29" s="20">
        <f t="shared" si="3"/>
        <v>2995.5</v>
      </c>
      <c r="G29" s="19">
        <f t="shared" si="4"/>
        <v>-3.6943814212863799</v>
      </c>
      <c r="H29" s="19"/>
      <c r="I29">
        <f t="shared" si="5"/>
        <v>-3.6943814212863799</v>
      </c>
      <c r="O29">
        <f t="shared" ca="1" si="1"/>
        <v>-3.1441179205588674</v>
      </c>
      <c r="Q29" s="2">
        <f t="shared" si="2"/>
        <v>34004.238899999997</v>
      </c>
    </row>
    <row r="30" spans="1:17">
      <c r="A30" s="44" t="s">
        <v>35</v>
      </c>
      <c r="B30" s="45" t="s">
        <v>36</v>
      </c>
      <c r="C30" s="44">
        <v>50576.873800000176</v>
      </c>
      <c r="D30" s="47">
        <v>6.1000000000000004E-3</v>
      </c>
      <c r="E30" s="19">
        <f t="shared" si="0"/>
        <v>3930.8465107609563</v>
      </c>
      <c r="F30" s="20">
        <f t="shared" si="3"/>
        <v>3933</v>
      </c>
      <c r="G30" s="19">
        <f t="shared" si="4"/>
        <v>-3.5696471137925982</v>
      </c>
      <c r="H30" s="19"/>
      <c r="I30">
        <f t="shared" si="5"/>
        <v>-3.5696471137925982</v>
      </c>
      <c r="O30">
        <f t="shared" ca="1" si="1"/>
        <v>-3.2756915208075621</v>
      </c>
      <c r="Q30" s="2">
        <f t="shared" si="2"/>
        <v>35558.373800000176</v>
      </c>
    </row>
    <row r="31" spans="1:17">
      <c r="A31" s="44" t="s">
        <v>35</v>
      </c>
      <c r="B31" s="45" t="s">
        <v>36</v>
      </c>
      <c r="C31" s="44">
        <v>51231.658700000029</v>
      </c>
      <c r="D31" s="47">
        <v>2.0999999999999999E-3</v>
      </c>
      <c r="E31" s="19">
        <f t="shared" si="0"/>
        <v>4325.8637746771401</v>
      </c>
      <c r="F31" s="20">
        <f t="shared" si="3"/>
        <v>4328</v>
      </c>
      <c r="G31" s="19">
        <f t="shared" si="4"/>
        <v>-3.5410302591335494</v>
      </c>
      <c r="H31" s="19"/>
      <c r="I31">
        <f t="shared" si="5"/>
        <v>-3.5410302591335494</v>
      </c>
      <c r="O31">
        <f t="shared" ca="1" si="1"/>
        <v>-3.3311278643790123</v>
      </c>
      <c r="Q31" s="2">
        <f t="shared" si="2"/>
        <v>36213.158700000029</v>
      </c>
    </row>
    <row r="32" spans="1:17">
      <c r="A32" s="44" t="s">
        <v>35</v>
      </c>
      <c r="B32" s="45" t="s">
        <v>37</v>
      </c>
      <c r="C32" s="44">
        <v>51232.479600000195</v>
      </c>
      <c r="D32" s="47">
        <v>4.1000000000000003E-3</v>
      </c>
      <c r="E32" s="19">
        <f t="shared" si="0"/>
        <v>4326.3590055109826</v>
      </c>
      <c r="F32" s="20">
        <f t="shared" si="3"/>
        <v>4328.5</v>
      </c>
      <c r="G32" s="19">
        <f t="shared" si="4"/>
        <v>-3.5489356806647265</v>
      </c>
      <c r="H32" s="19"/>
      <c r="I32">
        <f t="shared" si="5"/>
        <v>-3.5489356806647265</v>
      </c>
      <c r="O32">
        <f t="shared" ca="1" si="1"/>
        <v>-3.3311980369658114</v>
      </c>
      <c r="Q32" s="2">
        <f t="shared" si="2"/>
        <v>36213.979600000195</v>
      </c>
    </row>
    <row r="33" spans="1:17">
      <c r="A33" s="44" t="s">
        <v>35</v>
      </c>
      <c r="B33" s="45" t="s">
        <v>36</v>
      </c>
      <c r="C33" s="44">
        <v>51541.643099999987</v>
      </c>
      <c r="D33" s="47">
        <v>5.7999999999999996E-3</v>
      </c>
      <c r="E33" s="19">
        <f t="shared" si="0"/>
        <v>4512.8705146687171</v>
      </c>
      <c r="F33" s="20">
        <f t="shared" si="3"/>
        <v>4515</v>
      </c>
      <c r="G33" s="19">
        <f t="shared" si="4"/>
        <v>-3.5298579760055873</v>
      </c>
      <c r="H33" s="19"/>
      <c r="I33">
        <f t="shared" si="5"/>
        <v>-3.5298579760055873</v>
      </c>
      <c r="O33">
        <f t="shared" ca="1" si="1"/>
        <v>-3.3573724118419515</v>
      </c>
      <c r="Q33" s="2">
        <f t="shared" si="2"/>
        <v>36523.143099999987</v>
      </c>
    </row>
    <row r="34" spans="1:17">
      <c r="A34" s="41" t="s">
        <v>47</v>
      </c>
      <c r="B34" s="22"/>
      <c r="C34" s="41">
        <v>53539.883999999998</v>
      </c>
      <c r="D34" s="41">
        <v>1E-3</v>
      </c>
      <c r="E34" s="19">
        <f t="shared" si="0"/>
        <v>5718.3651022250197</v>
      </c>
      <c r="F34" s="20">
        <f t="shared" si="3"/>
        <v>5720.5</v>
      </c>
      <c r="G34" s="19">
        <f t="shared" si="4"/>
        <v>-3.5388297013705596</v>
      </c>
      <c r="H34" s="19"/>
      <c r="I34">
        <f t="shared" si="5"/>
        <v>-3.5388297013705596</v>
      </c>
      <c r="O34">
        <f t="shared" ref="O34:O43" ca="1" si="6">+C$11+C$12*$F34</f>
        <v>-3.5265585186150732</v>
      </c>
      <c r="Q34" s="2">
        <f t="shared" si="2"/>
        <v>38521.383999999998</v>
      </c>
    </row>
    <row r="35" spans="1:17">
      <c r="A35" s="21" t="s">
        <v>39</v>
      </c>
      <c r="B35" s="22"/>
      <c r="C35" s="23">
        <v>53886.307000000001</v>
      </c>
      <c r="D35" s="23">
        <v>2E-3</v>
      </c>
      <c r="E35" s="19">
        <f t="shared" si="0"/>
        <v>5927.3544445535736</v>
      </c>
      <c r="F35" s="20">
        <f t="shared" si="3"/>
        <v>5929.5</v>
      </c>
      <c r="G35" s="19">
        <f t="shared" si="4"/>
        <v>-3.556495973127312</v>
      </c>
      <c r="H35" s="19"/>
      <c r="I35">
        <f t="shared" si="5"/>
        <v>-3.556495973127312</v>
      </c>
      <c r="O35">
        <f t="shared" ca="1" si="6"/>
        <v>-3.555890659897182</v>
      </c>
      <c r="Q35" s="2">
        <f t="shared" si="2"/>
        <v>38867.807000000001</v>
      </c>
    </row>
    <row r="36" spans="1:17">
      <c r="A36" s="23" t="s">
        <v>48</v>
      </c>
      <c r="B36" s="43" t="s">
        <v>37</v>
      </c>
      <c r="C36" s="23">
        <v>54254.274999999907</v>
      </c>
      <c r="D36" s="23">
        <v>5.0000000000000001E-3</v>
      </c>
      <c r="E36" s="19">
        <f t="shared" si="0"/>
        <v>6149.3414093853917</v>
      </c>
      <c r="F36" s="20">
        <f t="shared" si="3"/>
        <v>6151.5</v>
      </c>
      <c r="G36" s="19">
        <f t="shared" si="4"/>
        <v>-3.5781032092490932</v>
      </c>
      <c r="H36" s="19"/>
      <c r="N36">
        <f t="shared" ref="N36:N43" si="7">+G36</f>
        <v>-3.5781032092490932</v>
      </c>
      <c r="O36">
        <f t="shared" ca="1" si="6"/>
        <v>-3.5870472884360733</v>
      </c>
      <c r="Q36" s="2">
        <f t="shared" si="2"/>
        <v>39235.774999999907</v>
      </c>
    </row>
    <row r="37" spans="1:17">
      <c r="A37" s="21" t="s">
        <v>56</v>
      </c>
      <c r="B37" s="48" t="s">
        <v>36</v>
      </c>
      <c r="C37" s="49">
        <v>55004.281999999999</v>
      </c>
      <c r="D37" s="50">
        <v>5.0000000000000001E-3</v>
      </c>
      <c r="E37" s="19">
        <f t="shared" si="0"/>
        <v>6601.8040624766418</v>
      </c>
      <c r="F37" s="20">
        <f t="shared" si="3"/>
        <v>6604</v>
      </c>
      <c r="G37" s="19">
        <f t="shared" si="4"/>
        <v>-3.6400098501617322</v>
      </c>
      <c r="H37" s="19"/>
      <c r="N37">
        <f t="shared" si="7"/>
        <v>-3.6400098501617322</v>
      </c>
      <c r="O37">
        <f t="shared" ca="1" si="6"/>
        <v>-3.6505534794894432</v>
      </c>
      <c r="Q37" s="2">
        <f t="shared" si="2"/>
        <v>39985.781999999999</v>
      </c>
    </row>
    <row r="38" spans="1:17">
      <c r="A38" s="51" t="s">
        <v>55</v>
      </c>
      <c r="B38" s="52" t="s">
        <v>37</v>
      </c>
      <c r="C38" s="53">
        <v>56680.802580000003</v>
      </c>
      <c r="D38" s="51">
        <v>5.0000000000000001E-4</v>
      </c>
      <c r="E38" s="19">
        <f t="shared" si="0"/>
        <v>7613.2118887886472</v>
      </c>
      <c r="F38" s="54">
        <f t="shared" ref="F38:F43" si="8">ROUND(2*E38,0)/2+2.5</f>
        <v>7615.5</v>
      </c>
      <c r="G38" s="19">
        <f t="shared" si="4"/>
        <v>-3.7927979548549047</v>
      </c>
      <c r="H38" s="19"/>
      <c r="N38">
        <f t="shared" si="7"/>
        <v>-3.7927979548549047</v>
      </c>
      <c r="O38">
        <f t="shared" ca="1" si="6"/>
        <v>-3.7925126225844346</v>
      </c>
      <c r="Q38" s="2">
        <f t="shared" si="2"/>
        <v>41662.302580000003</v>
      </c>
    </row>
    <row r="39" spans="1:17">
      <c r="A39" s="51" t="s">
        <v>55</v>
      </c>
      <c r="B39" s="52" t="s">
        <v>37</v>
      </c>
      <c r="C39" s="53">
        <v>56680.803670000001</v>
      </c>
      <c r="D39" s="51">
        <v>1.1000000000000001E-3</v>
      </c>
      <c r="E39" s="19">
        <f t="shared" si="0"/>
        <v>7613.2125463615639</v>
      </c>
      <c r="F39" s="54">
        <f t="shared" si="8"/>
        <v>7615.5</v>
      </c>
      <c r="G39" s="19">
        <f t="shared" si="4"/>
        <v>-3.7917079548569745</v>
      </c>
      <c r="H39" s="19"/>
      <c r="N39">
        <f t="shared" si="7"/>
        <v>-3.7917079548569745</v>
      </c>
      <c r="O39">
        <f t="shared" ca="1" si="6"/>
        <v>-3.7925126225844346</v>
      </c>
      <c r="Q39" s="2">
        <f t="shared" si="2"/>
        <v>41662.303670000001</v>
      </c>
    </row>
    <row r="40" spans="1:17">
      <c r="A40" s="51" t="s">
        <v>55</v>
      </c>
      <c r="B40" s="52" t="s">
        <v>37</v>
      </c>
      <c r="C40" s="53">
        <v>56680.805460000003</v>
      </c>
      <c r="D40" s="51">
        <v>6.9999999999999999E-4</v>
      </c>
      <c r="E40" s="19">
        <f t="shared" si="0"/>
        <v>7613.2136262290187</v>
      </c>
      <c r="F40" s="54">
        <f t="shared" si="8"/>
        <v>7615.5</v>
      </c>
      <c r="G40" s="19">
        <f t="shared" si="4"/>
        <v>-3.7899179548549</v>
      </c>
      <c r="H40" s="19"/>
      <c r="N40">
        <f t="shared" si="7"/>
        <v>-3.7899179548549</v>
      </c>
      <c r="O40">
        <f t="shared" ca="1" si="6"/>
        <v>-3.7925126225844346</v>
      </c>
      <c r="Q40" s="2">
        <f t="shared" si="2"/>
        <v>41662.305460000003</v>
      </c>
    </row>
    <row r="41" spans="1:17">
      <c r="A41" s="51" t="s">
        <v>55</v>
      </c>
      <c r="B41" s="52" t="s">
        <v>37</v>
      </c>
      <c r="C41" s="53">
        <v>56768.64488</v>
      </c>
      <c r="D41" s="51">
        <v>5.9999999999999995E-4</v>
      </c>
      <c r="E41" s="19">
        <f t="shared" si="0"/>
        <v>7666.2052076665123</v>
      </c>
      <c r="F41" s="54">
        <f t="shared" si="8"/>
        <v>7668.5</v>
      </c>
      <c r="G41" s="19">
        <f t="shared" si="4"/>
        <v>-3.8038726553568267</v>
      </c>
      <c r="H41" s="19"/>
      <c r="N41">
        <f t="shared" si="7"/>
        <v>-3.8038726553568267</v>
      </c>
      <c r="O41">
        <f t="shared" ca="1" si="6"/>
        <v>-3.7999509167851606</v>
      </c>
      <c r="Q41" s="2">
        <f t="shared" si="2"/>
        <v>41750.14488</v>
      </c>
    </row>
    <row r="42" spans="1:17">
      <c r="A42" s="51" t="s">
        <v>55</v>
      </c>
      <c r="B42" s="52" t="s">
        <v>37</v>
      </c>
      <c r="C42" s="53">
        <v>56768.644959999998</v>
      </c>
      <c r="D42" s="51">
        <v>4.0000000000000002E-4</v>
      </c>
      <c r="E42" s="19">
        <f t="shared" si="0"/>
        <v>7666.205255928744</v>
      </c>
      <c r="F42" s="54">
        <f t="shared" si="8"/>
        <v>7668.5</v>
      </c>
      <c r="G42" s="19">
        <f t="shared" si="4"/>
        <v>-3.8037926553588477</v>
      </c>
      <c r="H42" s="19"/>
      <c r="N42">
        <f t="shared" si="7"/>
        <v>-3.8037926553588477</v>
      </c>
      <c r="O42">
        <f t="shared" ca="1" si="6"/>
        <v>-3.7999509167851606</v>
      </c>
      <c r="Q42" s="2">
        <f t="shared" si="2"/>
        <v>41750.144959999998</v>
      </c>
    </row>
    <row r="43" spans="1:17">
      <c r="A43" s="51" t="s">
        <v>55</v>
      </c>
      <c r="B43" s="52" t="s">
        <v>37</v>
      </c>
      <c r="C43" s="53">
        <v>56768.646840000001</v>
      </c>
      <c r="D43" s="51">
        <v>4.0000000000000002E-4</v>
      </c>
      <c r="E43" s="19">
        <f t="shared" si="0"/>
        <v>7666.2063900912108</v>
      </c>
      <c r="F43" s="54">
        <f t="shared" si="8"/>
        <v>7668.5</v>
      </c>
      <c r="G43" s="19">
        <f t="shared" si="4"/>
        <v>-3.8019126553554088</v>
      </c>
      <c r="H43" s="19"/>
      <c r="N43">
        <f t="shared" si="7"/>
        <v>-3.8019126553554088</v>
      </c>
      <c r="O43">
        <f t="shared" ca="1" si="6"/>
        <v>-3.7999509167851606</v>
      </c>
      <c r="Q43" s="2">
        <f t="shared" si="2"/>
        <v>41750.146840000001</v>
      </c>
    </row>
    <row r="44" spans="1:17">
      <c r="D44" s="6"/>
    </row>
    <row r="45" spans="1:17">
      <c r="D45" s="6"/>
    </row>
    <row r="46" spans="1:17">
      <c r="D46" s="6"/>
    </row>
    <row r="47" spans="1:17">
      <c r="D47" s="6"/>
    </row>
    <row r="48" spans="1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E39" sqref="E3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34</v>
      </c>
    </row>
    <row r="2" spans="1:4">
      <c r="A2" t="s">
        <v>26</v>
      </c>
      <c r="B2" t="s">
        <v>38</v>
      </c>
      <c r="C2" s="6" t="s">
        <v>32</v>
      </c>
      <c r="D2" s="6" t="s">
        <v>32</v>
      </c>
    </row>
    <row r="3" spans="1:4" ht="13.5" thickBot="1"/>
    <row r="4" spans="1:4" ht="14.25" thickTop="1" thickBot="1">
      <c r="A4" s="8" t="s">
        <v>0</v>
      </c>
      <c r="C4" s="13">
        <v>44061.06</v>
      </c>
      <c r="D4" s="14">
        <v>1.6585000000000001</v>
      </c>
    </row>
    <row r="6" spans="1:4">
      <c r="A6" s="8" t="s">
        <v>1</v>
      </c>
    </row>
    <row r="7" spans="1:4">
      <c r="A7" t="s">
        <v>2</v>
      </c>
      <c r="C7">
        <f>+C4</f>
        <v>44061.06</v>
      </c>
    </row>
    <row r="8" spans="1:4">
      <c r="A8" t="s">
        <v>3</v>
      </c>
      <c r="C8">
        <f>+D4</f>
        <v>1.6585000000000001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INTERCEPT(G21:G999,$F21:$F999)</f>
        <v>0.59483370797001545</v>
      </c>
      <c r="D11" s="6"/>
    </row>
    <row r="12" spans="1:4">
      <c r="A12" t="s">
        <v>17</v>
      </c>
      <c r="C12">
        <f>SLOPE(G21:G999,$F21:$F999)</f>
        <v>-8.8915659446385075E-4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3" t="s">
        <v>18</v>
      </c>
      <c r="C15" s="11">
        <f>($C$7+C$11)+($C$8+C$12)*INT(MAX($F21:$F3533))</f>
        <v>53886.31430257258</v>
      </c>
    </row>
    <row r="16" spans="1:4">
      <c r="A16" s="8" t="s">
        <v>4</v>
      </c>
      <c r="C16" s="12">
        <f>+$C$8+C$12</f>
        <v>1.6576108434055363</v>
      </c>
    </row>
    <row r="17" spans="1:17" ht="13.5" thickBot="1">
      <c r="A17" s="15" t="s">
        <v>33</v>
      </c>
      <c r="C17">
        <f>COUNT(C21:C2191)</f>
        <v>6</v>
      </c>
    </row>
    <row r="18" spans="1:17" ht="14.25" thickTop="1" thickBot="1">
      <c r="A18" s="8" t="s">
        <v>5</v>
      </c>
      <c r="C18" s="4">
        <f>+C15</f>
        <v>53886.31430257258</v>
      </c>
      <c r="D18" s="5">
        <f>+C16</f>
        <v>1.6576108434055363</v>
      </c>
    </row>
    <row r="19" spans="1:17" ht="13.5" thickTop="1">
      <c r="F19">
        <v>2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>
      <c r="A21" t="s">
        <v>12</v>
      </c>
      <c r="C21">
        <v>44061.06</v>
      </c>
      <c r="D21" s="6" t="s">
        <v>14</v>
      </c>
      <c r="E21">
        <f t="shared" ref="E21:E26" si="0">+(C21-C$7)/C$8</f>
        <v>0</v>
      </c>
      <c r="F21">
        <f>ROUND(2*E21,0)/2</f>
        <v>0</v>
      </c>
      <c r="H21">
        <v>0</v>
      </c>
      <c r="O21">
        <f t="shared" ref="O21:O26" si="1">+C$11+C$12*$F21</f>
        <v>0.59483370797001545</v>
      </c>
      <c r="Q21" s="2">
        <f t="shared" ref="Q21:Q26" si="2">+C21-15018.5</f>
        <v>29042.559999999998</v>
      </c>
    </row>
    <row r="22" spans="1:17">
      <c r="A22" s="16" t="s">
        <v>35</v>
      </c>
      <c r="B22" s="17" t="s">
        <v>36</v>
      </c>
      <c r="C22" s="16">
        <v>50576.873800000176</v>
      </c>
      <c r="D22" s="18">
        <v>6.1000000000000004E-3</v>
      </c>
      <c r="E22" s="19">
        <f t="shared" si="0"/>
        <v>3928.7391015979365</v>
      </c>
      <c r="F22" s="20">
        <f>ROUND(2*E22,0)/2+2</f>
        <v>3930.5</v>
      </c>
      <c r="G22" s="19">
        <f>+C22-(C$7+F22*C$8)</f>
        <v>-2.9204499998231768</v>
      </c>
      <c r="H22" s="19"/>
      <c r="I22">
        <f>+G22</f>
        <v>-2.9204499998231768</v>
      </c>
      <c r="O22">
        <f t="shared" si="1"/>
        <v>-2.8999962865701501</v>
      </c>
      <c r="Q22" s="2">
        <f t="shared" si="2"/>
        <v>35558.373800000176</v>
      </c>
    </row>
    <row r="23" spans="1:17">
      <c r="A23" s="16" t="s">
        <v>35</v>
      </c>
      <c r="B23" s="17" t="s">
        <v>36</v>
      </c>
      <c r="C23" s="16">
        <v>51231.658700000029</v>
      </c>
      <c r="D23" s="18">
        <v>2.0999999999999999E-3</v>
      </c>
      <c r="E23" s="19">
        <f t="shared" si="0"/>
        <v>4323.5445884835881</v>
      </c>
      <c r="F23" s="20">
        <f>ROUND(2*E23,0)/2+2</f>
        <v>4325.5</v>
      </c>
      <c r="G23" s="19">
        <f>+C23-(C$7+F23*C$8)</f>
        <v>-3.243049999968207</v>
      </c>
      <c r="H23" s="19"/>
      <c r="I23">
        <f>+G23</f>
        <v>-3.243049999968207</v>
      </c>
      <c r="O23">
        <f t="shared" si="1"/>
        <v>-3.2512131413833711</v>
      </c>
      <c r="Q23" s="2">
        <f t="shared" si="2"/>
        <v>36213.158700000029</v>
      </c>
    </row>
    <row r="24" spans="1:17">
      <c r="A24" s="16" t="s">
        <v>35</v>
      </c>
      <c r="B24" s="17" t="s">
        <v>37</v>
      </c>
      <c r="C24" s="16">
        <v>51232.479600000195</v>
      </c>
      <c r="D24" s="18">
        <v>4.1000000000000003E-3</v>
      </c>
      <c r="E24" s="19">
        <f t="shared" si="0"/>
        <v>4324.0395538138064</v>
      </c>
      <c r="F24" s="20">
        <f>ROUND(2*E24,0)/2+2</f>
        <v>4326</v>
      </c>
      <c r="G24" s="19">
        <f>+C24-(C$7+F24*C$8)</f>
        <v>-3.251399999804562</v>
      </c>
      <c r="H24" s="19"/>
      <c r="I24">
        <f>+G24</f>
        <v>-3.251399999804562</v>
      </c>
      <c r="O24">
        <f t="shared" si="1"/>
        <v>-3.2516577196806029</v>
      </c>
      <c r="Q24" s="2">
        <f t="shared" si="2"/>
        <v>36213.979600000195</v>
      </c>
    </row>
    <row r="25" spans="1:17">
      <c r="A25" s="16" t="s">
        <v>35</v>
      </c>
      <c r="B25" s="17" t="s">
        <v>36</v>
      </c>
      <c r="C25" s="16">
        <v>51541.643099999987</v>
      </c>
      <c r="D25" s="18">
        <v>5.7999999999999996E-3</v>
      </c>
      <c r="E25" s="19">
        <f t="shared" si="0"/>
        <v>4510.4510702441894</v>
      </c>
      <c r="F25" s="20">
        <f>ROUND(2*E25,0)/2+2</f>
        <v>4512.5</v>
      </c>
      <c r="G25" s="19">
        <f>+C25-(C$7+F25*C$8)</f>
        <v>-3.3981500000081724</v>
      </c>
      <c r="H25" s="19"/>
      <c r="I25">
        <f>+G25</f>
        <v>-3.3981500000081724</v>
      </c>
      <c r="O25">
        <f t="shared" si="1"/>
        <v>-3.4174854245481114</v>
      </c>
      <c r="Q25" s="2">
        <f t="shared" si="2"/>
        <v>36523.143099999987</v>
      </c>
    </row>
    <row r="26" spans="1:17">
      <c r="A26" s="21" t="s">
        <v>39</v>
      </c>
      <c r="B26" s="22"/>
      <c r="C26" s="23">
        <v>53886.307000000001</v>
      </c>
      <c r="D26" s="23">
        <v>2E-3</v>
      </c>
      <c r="E26" s="19">
        <f t="shared" si="0"/>
        <v>5924.1766656617438</v>
      </c>
      <c r="F26" s="24">
        <f>ROUND(2*E26,0)/2+3</f>
        <v>5927</v>
      </c>
      <c r="G26" s="19">
        <f>+C26-(C$7+F26*C$8)</f>
        <v>-4.6824999999953434</v>
      </c>
      <c r="H26" s="19"/>
      <c r="I26">
        <f>+G26</f>
        <v>-4.6824999999953434</v>
      </c>
      <c r="O26">
        <f t="shared" si="1"/>
        <v>-4.6751974274172277</v>
      </c>
      <c r="Q26" s="2">
        <f t="shared" si="2"/>
        <v>38867.807000000001</v>
      </c>
    </row>
    <row r="27" spans="1:17">
      <c r="D27" s="6"/>
      <c r="Q27" s="2"/>
    </row>
    <row r="28" spans="1:17">
      <c r="D28" s="6"/>
      <c r="Q28" s="2"/>
    </row>
    <row r="29" spans="1:17">
      <c r="D29" s="6"/>
      <c r="Q29" s="2"/>
    </row>
    <row r="30" spans="1:17">
      <c r="D30" s="6"/>
      <c r="Q30" s="2"/>
    </row>
    <row r="31" spans="1:17">
      <c r="D31" s="6"/>
      <c r="Q31" s="2"/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2024-01-22T05:50:52Z</dcterms:modified>
</cp:coreProperties>
</file>