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C087012-1F3F-4531-892F-F9895B1928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E31" i="1"/>
  <c r="F31" i="1"/>
  <c r="E40" i="1"/>
  <c r="F4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4" i="1"/>
  <c r="Q46" i="1"/>
  <c r="G14" i="2"/>
  <c r="C14" i="2"/>
  <c r="G36" i="2"/>
  <c r="C36" i="2"/>
  <c r="G13" i="2"/>
  <c r="C13" i="2"/>
  <c r="G35" i="2"/>
  <c r="C35" i="2"/>
  <c r="G12" i="2"/>
  <c r="C12" i="2"/>
  <c r="G11" i="2"/>
  <c r="C11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H14" i="2"/>
  <c r="B14" i="2"/>
  <c r="D14" i="2"/>
  <c r="A14" i="2"/>
  <c r="H36" i="2"/>
  <c r="D36" i="2"/>
  <c r="B36" i="2"/>
  <c r="A36" i="2"/>
  <c r="H13" i="2"/>
  <c r="B13" i="2"/>
  <c r="D13" i="2"/>
  <c r="A13" i="2"/>
  <c r="H35" i="2"/>
  <c r="D35" i="2"/>
  <c r="B35" i="2"/>
  <c r="A35" i="2"/>
  <c r="H12" i="2"/>
  <c r="B12" i="2"/>
  <c r="D12" i="2"/>
  <c r="A12" i="2"/>
  <c r="H11" i="2"/>
  <c r="D11" i="2"/>
  <c r="B11" i="2"/>
  <c r="A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Q47" i="1"/>
  <c r="F16" i="1"/>
  <c r="C17" i="1"/>
  <c r="Q43" i="1"/>
  <c r="Q45" i="1"/>
  <c r="Q42" i="1"/>
  <c r="C7" i="1"/>
  <c r="E21" i="1"/>
  <c r="F21" i="1"/>
  <c r="Q34" i="1"/>
  <c r="E13" i="2"/>
  <c r="E36" i="2"/>
  <c r="E15" i="2"/>
  <c r="E14" i="2"/>
  <c r="E32" i="2"/>
  <c r="E42" i="1"/>
  <c r="F42" i="1"/>
  <c r="E39" i="1"/>
  <c r="F39" i="1"/>
  <c r="E30" i="1"/>
  <c r="F30" i="1"/>
  <c r="G30" i="1"/>
  <c r="I30" i="1"/>
  <c r="E22" i="1"/>
  <c r="F22" i="1"/>
  <c r="E37" i="1"/>
  <c r="F37" i="1"/>
  <c r="E44" i="1"/>
  <c r="E33" i="1"/>
  <c r="F33" i="1"/>
  <c r="G33" i="1"/>
  <c r="I33" i="1"/>
  <c r="E25" i="1"/>
  <c r="F25" i="1"/>
  <c r="G25" i="1"/>
  <c r="I25" i="1"/>
  <c r="E45" i="1"/>
  <c r="F45" i="1"/>
  <c r="G45" i="1"/>
  <c r="J45" i="1"/>
  <c r="G38" i="1"/>
  <c r="I38" i="1"/>
  <c r="E36" i="1"/>
  <c r="E27" i="1"/>
  <c r="E47" i="1"/>
  <c r="F47" i="1"/>
  <c r="G47" i="1"/>
  <c r="J47" i="1"/>
  <c r="G46" i="1"/>
  <c r="I46" i="1"/>
  <c r="E41" i="1"/>
  <c r="E32" i="1"/>
  <c r="G26" i="1"/>
  <c r="I26" i="1"/>
  <c r="E24" i="1"/>
  <c r="G21" i="1"/>
  <c r="E34" i="1"/>
  <c r="F34" i="1"/>
  <c r="E28" i="1"/>
  <c r="F28" i="1"/>
  <c r="G28" i="1"/>
  <c r="I28" i="1"/>
  <c r="E43" i="1"/>
  <c r="F43" i="1"/>
  <c r="G43" i="1"/>
  <c r="K43" i="1"/>
  <c r="U40" i="1"/>
  <c r="E38" i="1"/>
  <c r="F38" i="1"/>
  <c r="G31" i="1"/>
  <c r="I31" i="1"/>
  <c r="E29" i="1"/>
  <c r="F29" i="1"/>
  <c r="G29" i="1"/>
  <c r="I29" i="1"/>
  <c r="G23" i="1"/>
  <c r="I23" i="1"/>
  <c r="G39" i="1"/>
  <c r="I39" i="1"/>
  <c r="G22" i="1"/>
  <c r="I22" i="1"/>
  <c r="U42" i="1"/>
  <c r="E46" i="1"/>
  <c r="F46" i="1"/>
  <c r="G37" i="1"/>
  <c r="I37" i="1"/>
  <c r="E35" i="1"/>
  <c r="F35" i="1"/>
  <c r="U35" i="1"/>
  <c r="E26" i="1"/>
  <c r="F26" i="1"/>
  <c r="E11" i="2"/>
  <c r="E28" i="2"/>
  <c r="E20" i="2"/>
  <c r="E23" i="2"/>
  <c r="I21" i="1"/>
  <c r="E27" i="2"/>
  <c r="E30" i="2"/>
  <c r="E34" i="2"/>
  <c r="F41" i="1"/>
  <c r="G41" i="1"/>
  <c r="J41" i="1"/>
  <c r="F44" i="1"/>
  <c r="G44" i="1"/>
  <c r="I44" i="1"/>
  <c r="E35" i="2"/>
  <c r="E18" i="2"/>
  <c r="F24" i="1"/>
  <c r="G24" i="1"/>
  <c r="E22" i="2"/>
  <c r="E21" i="2"/>
  <c r="F27" i="1"/>
  <c r="G27" i="1"/>
  <c r="I27" i="1"/>
  <c r="E12" i="2"/>
  <c r="F32" i="1"/>
  <c r="G32" i="1"/>
  <c r="I32" i="1"/>
  <c r="E26" i="2"/>
  <c r="E31" i="2"/>
  <c r="E24" i="2"/>
  <c r="E29" i="2"/>
  <c r="F36" i="1"/>
  <c r="G36" i="1"/>
  <c r="I36" i="1"/>
  <c r="E16" i="2"/>
  <c r="E19" i="2"/>
  <c r="I24" i="1"/>
  <c r="C12" i="1"/>
  <c r="C11" i="1"/>
  <c r="O43" i="1" l="1"/>
  <c r="O41" i="1"/>
  <c r="O34" i="1"/>
  <c r="O25" i="1"/>
  <c r="O23" i="1"/>
  <c r="O47" i="1"/>
  <c r="O21" i="1"/>
  <c r="O30" i="1"/>
  <c r="O38" i="1"/>
  <c r="O33" i="1"/>
  <c r="O31" i="1"/>
  <c r="O42" i="1"/>
  <c r="O29" i="1"/>
  <c r="O36" i="1"/>
  <c r="O26" i="1"/>
  <c r="O46" i="1"/>
  <c r="O37" i="1"/>
  <c r="O35" i="1"/>
  <c r="O24" i="1"/>
  <c r="O27" i="1"/>
  <c r="O22" i="1"/>
  <c r="O28" i="1"/>
  <c r="C15" i="1"/>
  <c r="O40" i="1"/>
  <c r="O44" i="1"/>
  <c r="O32" i="1"/>
  <c r="O39" i="1"/>
  <c r="O4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<sst xmlns="http://schemas.openxmlformats.org/spreadsheetml/2006/main" count="327" uniqueCount="166">
  <si>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</si>
  <si>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</si>
  <si>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</si>
  <si>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</si>
  <si>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</si>
  <si>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</si>
  <si>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</si>
  <si>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</si>
  <si>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</si>
  <si>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</si>
  <si>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</si>
  <si>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</si>
  <si>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</si>
  <si>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</si>
  <si>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</si>
  <si>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</si>
  <si>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</si>
  <si>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</si>
  <si>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</si>
  <si>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</si>
  <si>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</si>
  <si>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</si>
  <si>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</si>
  <si>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</si>
  <si>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</si>
  <si>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</si>
  <si>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</si>
  <si>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</si>
  <si>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</si>
  <si>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Bull.116</t>
  </si>
  <si>
    <t>B</t>
  </si>
  <si>
    <t>IBVS</t>
  </si>
  <si>
    <t># of data points:</t>
  </si>
  <si>
    <t>EA/SD</t>
  </si>
  <si>
    <t>DN Cep / gsc 3986-0116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</si>
  <si>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</si>
  <si>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</si>
  <si>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</si>
  <si>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</si>
  <si>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</si>
  <si>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</si>
  <si>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</si>
  <si>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OEJV 0074</t>
  </si>
  <si>
    <t>CCD</t>
  </si>
  <si>
    <t>Add cycle</t>
  </si>
  <si>
    <t>Old Cycle</t>
  </si>
  <si>
    <t>Start of linear fit &gt;&gt;&gt;&gt;&gt;&gt;&gt;&gt;&gt;&gt;&gt;&gt;&gt;&gt;&gt;&gt;&gt;&gt;&gt;&gt;&gt;</t>
  </si>
  <si>
    <t>IBVS 6118</t>
  </si>
  <si>
    <t>BAD?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</si>
  <si>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</si>
  <si>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</si>
  <si>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</si>
  <si>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</si>
  <si>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</si>
  <si>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</si>
  <si>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</si>
  <si>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</si>
  <si>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</si>
  <si>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</si>
  <si>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</si>
  <si>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2428081.31 </t>
  </si>
  <si>
    <t> 05.10.1935 19:26 </t>
  </si>
  <si>
    <t> 0.01 </t>
  </si>
  <si>
    <t>P </t>
  </si>
  <si>
    <t> P.Parenago </t>
  </si>
  <si>
    <t> PZ 5.212 </t>
  </si>
  <si>
    <t>2428805.32 </t>
  </si>
  <si>
    <t> 28.09.1937 19:40 </t>
  </si>
  <si>
    <t> -0.03 </t>
  </si>
  <si>
    <t>2429549.26 </t>
  </si>
  <si>
    <t> 12.10.1939 18:14 </t>
  </si>
  <si>
    <t> 0.02 </t>
  </si>
  <si>
    <t> N.B.Perova </t>
  </si>
  <si>
    <t> PZ 9.142 </t>
  </si>
  <si>
    <t>2429853.42 </t>
  </si>
  <si>
    <t> 11.08.1940 22:04 </t>
  </si>
  <si>
    <t>2430587.41 </t>
  </si>
  <si>
    <t> 15.08.1942 21:50 </t>
  </si>
  <si>
    <t> 0.04 </t>
  </si>
  <si>
    <t>2432769.45 </t>
  </si>
  <si>
    <t> 05.08.1948 22:48 </t>
  </si>
  <si>
    <t>2432802.51 </t>
  </si>
  <si>
    <t> 08.09.1948 00:14 </t>
  </si>
  <si>
    <t>2432822.34 </t>
  </si>
  <si>
    <t> 27.09.1948 20:09 </t>
  </si>
  <si>
    <t> 0.00 </t>
  </si>
  <si>
    <t>2432888.464 </t>
  </si>
  <si>
    <t> 02.12.1948 23:08 </t>
  </si>
  <si>
    <t> 0.001 </t>
  </si>
  <si>
    <t> Miller &amp; Wachmann </t>
  </si>
  <si>
    <t> RIA 8.230 </t>
  </si>
  <si>
    <t>2433209.18 </t>
  </si>
  <si>
    <t> 19.10.1949 16:19 </t>
  </si>
  <si>
    <t>2433232.295 </t>
  </si>
  <si>
    <t> 11.11.1949 19:04 </t>
  </si>
  <si>
    <t> -0.009 </t>
  </si>
  <si>
    <t>2433513.33 </t>
  </si>
  <si>
    <t> 19.08.1950 19:55 </t>
  </si>
  <si>
    <t>2433652.190 </t>
  </si>
  <si>
    <t> 05.01.1951 16:33 </t>
  </si>
  <si>
    <t> 0.003 </t>
  </si>
  <si>
    <t>2434386.218 </t>
  </si>
  <si>
    <t> 08.01.1953 17:13 </t>
  </si>
  <si>
    <t> 0.063 </t>
  </si>
  <si>
    <t> G.Romano </t>
  </si>
  <si>
    <t> MSAI 27.540 </t>
  </si>
  <si>
    <t>2434574.603 </t>
  </si>
  <si>
    <t> 16.07.1953 02:28 </t>
  </si>
  <si>
    <t> -0.004 </t>
  </si>
  <si>
    <t>2434918.458 </t>
  </si>
  <si>
    <t> 24.06.1954 22:59 </t>
  </si>
  <si>
    <t> 0.010 </t>
  </si>
  <si>
    <t>2437606.355 </t>
  </si>
  <si>
    <t> 02.11.1961 20:31 </t>
  </si>
  <si>
    <t> MSAI 37.261 </t>
  </si>
  <si>
    <t>2438664.305 </t>
  </si>
  <si>
    <t> 25.09.1964 19:19 </t>
  </si>
  <si>
    <t> -0.027 </t>
  </si>
  <si>
    <t>2446645.466 </t>
  </si>
  <si>
    <t> 02.08.1986 23:11 </t>
  </si>
  <si>
    <t> 0.054 </t>
  </si>
  <si>
    <t>V </t>
  </si>
  <si>
    <t> P.Novak </t>
  </si>
  <si>
    <t> BRNO 28 </t>
  </si>
  <si>
    <t>2448953.078 </t>
  </si>
  <si>
    <t> 26.11.1992 13:52 </t>
  </si>
  <si>
    <t> -0.036 </t>
  </si>
  <si>
    <t>E </t>
  </si>
  <si>
    <t>?</t>
  </si>
  <si>
    <t> M.Zakirov et al. </t>
  </si>
  <si>
    <t>IBVS 3926 </t>
  </si>
  <si>
    <t>2450715.350 </t>
  </si>
  <si>
    <t> 23.09.1997 20:24 </t>
  </si>
  <si>
    <t> 0.051 </t>
  </si>
  <si>
    <t> H.Peter </t>
  </si>
  <si>
    <t> BBS 116 </t>
  </si>
  <si>
    <t>2452196.42931 </t>
  </si>
  <si>
    <t> 13.10.2001 22:18 </t>
  </si>
  <si>
    <t> -0.03158 </t>
  </si>
  <si>
    <t>C </t>
  </si>
  <si>
    <t>o</t>
  </si>
  <si>
    <t> D.Motl </t>
  </si>
  <si>
    <t>OEJV 0074 </t>
  </si>
  <si>
    <t>2452196.442 </t>
  </si>
  <si>
    <t> 13.10.2001 22:36 </t>
  </si>
  <si>
    <t> -0.019 </t>
  </si>
  <si>
    <t> R.Diethelm </t>
  </si>
  <si>
    <t> BBS 126 </t>
  </si>
  <si>
    <t>2454031.3402 </t>
  </si>
  <si>
    <t> 22.10.2006 20:09 </t>
  </si>
  <si>
    <t> -0.0417 </t>
  </si>
  <si>
    <t>-I</t>
  </si>
  <si>
    <t> F. Agerer </t>
  </si>
  <si>
    <t>BAVM 183 </t>
  </si>
  <si>
    <t>2454798.3753 </t>
  </si>
  <si>
    <t> 27.11.2008 21:00 </t>
  </si>
  <si>
    <t>6329</t>
  </si>
  <si>
    <t> -0.0367 </t>
  </si>
  <si>
    <t> F.Agerer </t>
  </si>
  <si>
    <t>BAVM 203 </t>
  </si>
  <si>
    <t>2456590.3139 </t>
  </si>
  <si>
    <t> 24.10.2013 19:32 </t>
  </si>
  <si>
    <t>6871</t>
  </si>
  <si>
    <t> -0.0389 </t>
  </si>
  <si>
    <t>BAVM 234 </t>
  </si>
  <si>
    <t>IBVS 3926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</si>
</sst>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4" xfId="0" applyFont="1" applyFill="1" applyBorder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Cep - O-C Diagr.</a:t>
            </a:r>
          </a:p>
        </c:rich>
      </c:tx>
      <c:layout>
        <c:manualLayout>
          <c:xMode val="edge"/>
          <c:yMode val="edge"/>
          <c:x val="0.37560192616372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4686998394862"/>
          <c:y val="0.14769252958613219"/>
          <c:w val="0.81219903691813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8-4AA3-94D3-59209267F0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-4.6879999972588848E-3</c:v>
                </c:pt>
                <c:pt idx="1">
                  <c:v>-4.2851999998674728E-2</c:v>
                </c:pt>
                <c:pt idx="2">
                  <c:v>1.2048000000504544E-2</c:v>
                </c:pt>
                <c:pt idx="3">
                  <c:v>5.6960000001708977E-3</c:v>
                </c:pt>
                <c:pt idx="4">
                  <c:v>2.9064000002108514E-2</c:v>
                </c:pt>
                <c:pt idx="5">
                  <c:v>6.1040000000502914E-3</c:v>
                </c:pt>
                <c:pt idx="6">
                  <c:v>4.5440000030794181E-3</c:v>
                </c:pt>
                <c:pt idx="7">
                  <c:v>-2.3920000021462329E-3</c:v>
                </c:pt>
                <c:pt idx="8">
                  <c:v>-1.5119999952730723E-3</c:v>
                </c:pt>
                <c:pt idx="9">
                  <c:v>1.7356000003928784E-2</c:v>
                </c:pt>
                <c:pt idx="10">
                  <c:v>-1.0735999996541068E-2</c:v>
                </c:pt>
                <c:pt idx="11">
                  <c:v>1.0040000051958486E-3</c:v>
                </c:pt>
                <c:pt idx="12">
                  <c:v>2.452000007906463E-3</c:v>
                </c:pt>
                <c:pt idx="13">
                  <c:v>0</c:v>
                </c:pt>
                <c:pt idx="15">
                  <c:v>-2.0719999956781976E-3</c:v>
                </c:pt>
                <c:pt idx="16">
                  <c:v>1.2704000000667293E-2</c:v>
                </c:pt>
                <c:pt idx="17">
                  <c:v>4.8760000063339248E-3</c:v>
                </c:pt>
                <c:pt idx="18">
                  <c:v>-1.5043999999761581E-2</c:v>
                </c:pt>
                <c:pt idx="23">
                  <c:v>2.5448000007600058E-2</c:v>
                </c:pt>
                <c:pt idx="25">
                  <c:v>1.3976000002003275E-2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8-4AA3-94D3-59209267F0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0">
                  <c:v>4.8400000378023833E-4</c:v>
                </c:pt>
                <c:pt idx="24">
                  <c:v>7.0679999989806674E-3</c:v>
                </c:pt>
                <c:pt idx="26">
                  <c:v>1.602400000410853E-2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28-4AA3-94D3-59209267F0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2">
                  <c:v>1.2758000004396308E-2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28-4AA3-94D3-59209267F0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28-4AA3-94D3-59209267F0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28-4AA3-94D3-59209267F0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3.8999999999999998E-3</c:v>
                  </c:pt>
                  <c:pt idx="25">
                    <c:v>0</c:v>
                  </c:pt>
                  <c:pt idx="26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28-4AA3-94D3-59209267F0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-1.6791301853962778E-3</c:v>
                </c:pt>
                <c:pt idx="1">
                  <c:v>-1.2677196488062089E-3</c:v>
                </c:pt>
                <c:pt idx="2">
                  <c:v>-8.450375906657267E-4</c:v>
                </c:pt>
                <c:pt idx="3">
                  <c:v>-6.722075935593967E-4</c:v>
                </c:pt>
                <c:pt idx="4">
                  <c:v>-2.5516129619412094E-4</c:v>
                </c:pt>
                <c:pt idx="5">
                  <c:v>9.8470607435129261E-4</c:v>
                </c:pt>
                <c:pt idx="6">
                  <c:v>1.0034919436019809E-3</c:v>
                </c:pt>
                <c:pt idx="7">
                  <c:v>1.0147634651523935E-3</c:v>
                </c:pt>
                <c:pt idx="8">
                  <c:v>1.0523352036537698E-3</c:v>
                </c:pt>
                <c:pt idx="9">
                  <c:v>1.2345581353854441E-3</c:v>
                </c:pt>
                <c:pt idx="10">
                  <c:v>1.2477082438609257E-3</c:v>
                </c:pt>
                <c:pt idx="11">
                  <c:v>1.4073881324917746E-3</c:v>
                </c:pt>
                <c:pt idx="12">
                  <c:v>1.4862887833446644E-3</c:v>
                </c:pt>
                <c:pt idx="13">
                  <c:v>1.6121541073242747E-3</c:v>
                </c:pt>
                <c:pt idx="14">
                  <c:v>1.90333508070994E-3</c:v>
                </c:pt>
                <c:pt idx="15">
                  <c:v>2.0104145354388619E-3</c:v>
                </c:pt>
                <c:pt idx="16">
                  <c:v>2.2057875756460181E-3</c:v>
                </c:pt>
                <c:pt idx="17">
                  <c:v>3.7330787457269593E-3</c:v>
                </c:pt>
                <c:pt idx="18">
                  <c:v>4.3342265617489781E-3</c:v>
                </c:pt>
                <c:pt idx="19">
                  <c:v>8.8691353988650818E-3</c:v>
                </c:pt>
                <c:pt idx="20">
                  <c:v>1.018038907256311E-2</c:v>
                </c:pt>
                <c:pt idx="21">
                  <c:v>1.1181675903624785E-2</c:v>
                </c:pt>
                <c:pt idx="22">
                  <c:v>1.2023282846055611E-2</c:v>
                </c:pt>
                <c:pt idx="23">
                  <c:v>1.2023282846055611E-2</c:v>
                </c:pt>
                <c:pt idx="24">
                  <c:v>1.30658985894688E-2</c:v>
                </c:pt>
                <c:pt idx="25">
                  <c:v>1.3501730756084764E-2</c:v>
                </c:pt>
                <c:pt idx="26">
                  <c:v>1.4519924869472057E-2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28-4AA3-94D3-59209267F0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-1752</c:v>
                </c:pt>
                <c:pt idx="1">
                  <c:v>-1533</c:v>
                </c:pt>
                <c:pt idx="2">
                  <c:v>-1308</c:v>
                </c:pt>
                <c:pt idx="3">
                  <c:v>-1216</c:v>
                </c:pt>
                <c:pt idx="4">
                  <c:v>-994</c:v>
                </c:pt>
                <c:pt idx="5">
                  <c:v>-334</c:v>
                </c:pt>
                <c:pt idx="6">
                  <c:v>-324</c:v>
                </c:pt>
                <c:pt idx="7">
                  <c:v>-318</c:v>
                </c:pt>
                <c:pt idx="8">
                  <c:v>-298</c:v>
                </c:pt>
                <c:pt idx="9">
                  <c:v>-201</c:v>
                </c:pt>
                <c:pt idx="10">
                  <c:v>-194</c:v>
                </c:pt>
                <c:pt idx="11">
                  <c:v>-109</c:v>
                </c:pt>
                <c:pt idx="12">
                  <c:v>-67</c:v>
                </c:pt>
                <c:pt idx="13">
                  <c:v>0</c:v>
                </c:pt>
                <c:pt idx="14">
                  <c:v>155</c:v>
                </c:pt>
                <c:pt idx="15">
                  <c:v>212</c:v>
                </c:pt>
                <c:pt idx="16">
                  <c:v>316</c:v>
                </c:pt>
                <c:pt idx="17">
                  <c:v>1129</c:v>
                </c:pt>
                <c:pt idx="18">
                  <c:v>1449</c:v>
                </c:pt>
                <c:pt idx="19">
                  <c:v>3863</c:v>
                </c:pt>
                <c:pt idx="20">
                  <c:v>4561</c:v>
                </c:pt>
                <c:pt idx="21">
                  <c:v>5094</c:v>
                </c:pt>
                <c:pt idx="22">
                  <c:v>5542</c:v>
                </c:pt>
                <c:pt idx="23">
                  <c:v>5542</c:v>
                </c:pt>
                <c:pt idx="24">
                  <c:v>6097</c:v>
                </c:pt>
                <c:pt idx="25">
                  <c:v>6329</c:v>
                </c:pt>
                <c:pt idx="26">
                  <c:v>6871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">
                  <c:v>6.3820000003033783E-2</c:v>
                </c:pt>
                <c:pt idx="19">
                  <c:v>8.5372000001370907E-2</c:v>
                </c:pt>
                <c:pt idx="21">
                  <c:v>9.1336000004957896E-2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28-4AA3-94D3-59209267F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435960"/>
        <c:axId val="1"/>
      </c:scatterChart>
      <c:valAx>
        <c:axId val="33843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9614767255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43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239165329053"/>
          <c:y val="0.92000129214617399"/>
          <c:w val="0.772070626003210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247650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CA9533-3201-61DB-2396-E5AEE2BF0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3926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40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s="12" t="s">
        <v>33</v>
      </c>
    </row>
    <row r="4" spans="1:6" ht="14.25" thickTop="1" thickBot="1" x14ac:dyDescent="0.25">
      <c r="A4" s="6" t="s">
        <v>0</v>
      </c>
      <c r="C4" s="3">
        <v>33873.699999999997</v>
      </c>
      <c r="D4" s="4">
        <v>3.3061639999999999</v>
      </c>
    </row>
    <row r="5" spans="1:6" ht="13.5" thickTop="1" x14ac:dyDescent="0.2">
      <c r="A5" s="13" t="s">
        <v>35</v>
      </c>
      <c r="B5" s="14"/>
      <c r="C5" s="15">
        <v>-9.5</v>
      </c>
      <c r="D5" s="14" t="s">
        <v>36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33873.699999999997</v>
      </c>
      <c r="D7" s="9" t="s">
        <v>31</v>
      </c>
    </row>
    <row r="8" spans="1:6" x14ac:dyDescent="0.2">
      <c r="A8" t="s">
        <v>3</v>
      </c>
      <c r="C8">
        <v>3.3061560000000001</v>
      </c>
      <c r="D8" s="10">
        <v>3926</v>
      </c>
    </row>
    <row r="9" spans="1:6" x14ac:dyDescent="0.2">
      <c r="A9" s="32" t="s">
        <v>46</v>
      </c>
      <c r="B9" s="33">
        <v>21</v>
      </c>
      <c r="C9" s="30" t="str">
        <f>"F"&amp;B9</f>
        <v>F21</v>
      </c>
      <c r="D9" s="31" t="str">
        <f>"G"&amp;B9</f>
        <v>G21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29">
        <f ca="1">INTERCEPT(INDIRECT($D$9):G992,INDIRECT($C$9):F992)</f>
        <v>1.6121541073242747E-3</v>
      </c>
      <c r="D11" s="16"/>
      <c r="E11" s="14"/>
    </row>
    <row r="12" spans="1:6" x14ac:dyDescent="0.2">
      <c r="A12" s="14" t="s">
        <v>17</v>
      </c>
      <c r="B12" s="14"/>
      <c r="C12" s="29">
        <f ca="1">SLOPE(INDIRECT($D$9):G992,INDIRECT($C$9):F992)</f>
        <v>1.8785869250688085E-6</v>
      </c>
      <c r="D12" s="16"/>
      <c r="E12" s="14"/>
    </row>
    <row r="13" spans="1:6" x14ac:dyDescent="0.2">
      <c r="A13" s="14" t="s">
        <v>19</v>
      </c>
      <c r="B13" s="14"/>
      <c r="C13" s="16" t="s">
        <v>14</v>
      </c>
    </row>
    <row r="14" spans="1:6" x14ac:dyDescent="0.2">
      <c r="A14" s="14"/>
      <c r="B14" s="14"/>
      <c r="C14" s="14"/>
    </row>
    <row r="15" spans="1:6" x14ac:dyDescent="0.2">
      <c r="A15" s="17" t="s">
        <v>18</v>
      </c>
      <c r="B15" s="14"/>
      <c r="C15" s="18">
        <f ca="1">(C7+C11)+(C8+C12)*INT(MAX(F21:F3533))</f>
        <v>56590.312395924862</v>
      </c>
      <c r="E15" s="19" t="s">
        <v>44</v>
      </c>
      <c r="F15" s="15">
        <v>1</v>
      </c>
    </row>
    <row r="16" spans="1:6" x14ac:dyDescent="0.2">
      <c r="A16" s="21" t="s">
        <v>4</v>
      </c>
      <c r="B16" s="14"/>
      <c r="C16" s="22">
        <f ca="1">+C8+C12</f>
        <v>3.3061578785869252</v>
      </c>
      <c r="E16" s="19" t="s">
        <v>37</v>
      </c>
      <c r="F16" s="20">
        <f ca="1">NOW()+15018.5+$C$5/24</f>
        <v>60332.658766203698</v>
      </c>
    </row>
    <row r="17" spans="1:21" ht="13.5" thickBot="1" x14ac:dyDescent="0.25">
      <c r="A17" s="19" t="s">
        <v>32</v>
      </c>
      <c r="B17" s="14"/>
      <c r="C17" s="14">
        <f>COUNT(C21:C2191)</f>
        <v>27</v>
      </c>
      <c r="E17" s="19" t="s">
        <v>45</v>
      </c>
      <c r="F17" s="20">
        <f ca="1">ROUND(2*(F16-$C$7)/$C$8,0)/2+F15</f>
        <v>8004</v>
      </c>
    </row>
    <row r="18" spans="1:21" ht="14.25" thickTop="1" thickBot="1" x14ac:dyDescent="0.25">
      <c r="A18" s="21" t="s">
        <v>5</v>
      </c>
      <c r="B18" s="14"/>
      <c r="C18" s="24">
        <f ca="1">+C15</f>
        <v>56590.312395924862</v>
      </c>
      <c r="D18" s="25">
        <f ca="1">+C16</f>
        <v>3.3061578785869252</v>
      </c>
      <c r="E18" s="19" t="s">
        <v>38</v>
      </c>
      <c r="F18" s="31">
        <f ca="1">ROUND(2*(F16-$C$15)/$C$16,0)/2+F15</f>
        <v>1133</v>
      </c>
    </row>
    <row r="19" spans="1:21" ht="13.5" thickTop="1" x14ac:dyDescent="0.2">
      <c r="E19" s="19" t="s">
        <v>39</v>
      </c>
      <c r="F19" s="23">
        <f ca="1">+$C$15+$C$16*F18-15018.5-$C$5/24</f>
        <v>45318.085105697181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55</v>
      </c>
      <c r="I20" s="8" t="s">
        <v>58</v>
      </c>
      <c r="J20" s="8" t="s">
        <v>52</v>
      </c>
      <c r="K20" s="8" t="s">
        <v>43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5"/>
      <c r="S20" s="5"/>
      <c r="T20" s="5"/>
      <c r="U20" s="40" t="s">
        <v>48</v>
      </c>
    </row>
    <row r="21" spans="1:21" x14ac:dyDescent="0.2">
      <c r="A21" s="55" t="s">
        <v>65</v>
      </c>
      <c r="B21" s="56" t="s">
        <v>41</v>
      </c>
      <c r="C21" s="55">
        <v>28081.31</v>
      </c>
      <c r="D21" s="55" t="s">
        <v>58</v>
      </c>
      <c r="E21">
        <f t="shared" ref="E21:E47" si="0">+(C21-C$7)/C$8</f>
        <v>-1752.0014179609177</v>
      </c>
      <c r="F21">
        <f t="shared" ref="F21:F47" si="1">ROUND(2*E21,0)/2</f>
        <v>-1752</v>
      </c>
      <c r="G21">
        <f t="shared" ref="G21:G33" si="2">+C21-(C$7+F21*C$8)</f>
        <v>-4.6879999972588848E-3</v>
      </c>
      <c r="I21">
        <f t="shared" ref="I21:I33" si="3">+G21</f>
        <v>-4.6879999972588848E-3</v>
      </c>
      <c r="O21">
        <f t="shared" ref="O21:O47" ca="1" si="4">+C$11+C$12*F21</f>
        <v>-1.6791301853962778E-3</v>
      </c>
      <c r="Q21" s="2">
        <f t="shared" ref="Q21:Q47" si="5">+C21-15018.5</f>
        <v>13062.810000000001</v>
      </c>
      <c r="R21" s="2"/>
      <c r="S21" s="2"/>
      <c r="T21" s="2"/>
    </row>
    <row r="22" spans="1:21" x14ac:dyDescent="0.2">
      <c r="A22" s="55" t="s">
        <v>65</v>
      </c>
      <c r="B22" s="56" t="s">
        <v>41</v>
      </c>
      <c r="C22" s="55">
        <v>28805.32</v>
      </c>
      <c r="D22" s="55" t="s">
        <v>58</v>
      </c>
      <c r="E22">
        <f t="shared" si="0"/>
        <v>-1533.0129612758735</v>
      </c>
      <c r="F22">
        <f t="shared" si="1"/>
        <v>-1533</v>
      </c>
      <c r="G22">
        <f t="shared" si="2"/>
        <v>-4.2851999998674728E-2</v>
      </c>
      <c r="I22">
        <f t="shared" si="3"/>
        <v>-4.2851999998674728E-2</v>
      </c>
      <c r="O22">
        <f t="shared" ca="1" si="4"/>
        <v>-1.2677196488062089E-3</v>
      </c>
      <c r="Q22" s="2">
        <f t="shared" si="5"/>
        <v>13786.82</v>
      </c>
      <c r="R22" s="2"/>
      <c r="S22" s="2"/>
      <c r="T22" s="2"/>
    </row>
    <row r="23" spans="1:21" x14ac:dyDescent="0.2">
      <c r="A23" s="55" t="s">
        <v>73</v>
      </c>
      <c r="B23" s="56" t="s">
        <v>41</v>
      </c>
      <c r="C23" s="55">
        <v>29549.26</v>
      </c>
      <c r="D23" s="55" t="s">
        <v>58</v>
      </c>
      <c r="E23">
        <f t="shared" si="0"/>
        <v>-1307.9963558888323</v>
      </c>
      <c r="F23">
        <f t="shared" si="1"/>
        <v>-1308</v>
      </c>
      <c r="G23">
        <f t="shared" si="2"/>
        <v>1.2048000000504544E-2</v>
      </c>
      <c r="I23">
        <f t="shared" si="3"/>
        <v>1.2048000000504544E-2</v>
      </c>
      <c r="O23">
        <f t="shared" ca="1" si="4"/>
        <v>-8.450375906657267E-4</v>
      </c>
      <c r="Q23" s="2">
        <f t="shared" si="5"/>
        <v>14530.759999999998</v>
      </c>
      <c r="R23" s="2"/>
      <c r="S23" s="2"/>
      <c r="T23" s="2"/>
    </row>
    <row r="24" spans="1:21" x14ac:dyDescent="0.2">
      <c r="A24" s="55" t="s">
        <v>73</v>
      </c>
      <c r="B24" s="56" t="s">
        <v>41</v>
      </c>
      <c r="C24" s="55">
        <v>29853.42</v>
      </c>
      <c r="D24" s="55" t="s">
        <v>58</v>
      </c>
      <c r="E24">
        <f t="shared" si="0"/>
        <v>-1215.9982771532857</v>
      </c>
      <c r="F24">
        <f t="shared" si="1"/>
        <v>-1216</v>
      </c>
      <c r="G24">
        <f t="shared" si="2"/>
        <v>5.6960000001708977E-3</v>
      </c>
      <c r="I24">
        <f t="shared" si="3"/>
        <v>5.6960000001708977E-3</v>
      </c>
      <c r="O24">
        <f t="shared" ca="1" si="4"/>
        <v>-6.722075935593967E-4</v>
      </c>
      <c r="Q24" s="2">
        <f t="shared" si="5"/>
        <v>14834.919999999998</v>
      </c>
      <c r="R24" s="2"/>
      <c r="S24" s="2"/>
      <c r="T24" s="2"/>
    </row>
    <row r="25" spans="1:21" x14ac:dyDescent="0.2">
      <c r="A25" s="55" t="s">
        <v>73</v>
      </c>
      <c r="B25" s="56" t="s">
        <v>41</v>
      </c>
      <c r="C25" s="55">
        <v>30587.41</v>
      </c>
      <c r="D25" s="55" t="s">
        <v>58</v>
      </c>
      <c r="E25">
        <f t="shared" si="0"/>
        <v>-993.99120912624721</v>
      </c>
      <c r="F25">
        <f t="shared" si="1"/>
        <v>-994</v>
      </c>
      <c r="G25">
        <f t="shared" si="2"/>
        <v>2.9064000002108514E-2</v>
      </c>
      <c r="I25">
        <f t="shared" si="3"/>
        <v>2.9064000002108514E-2</v>
      </c>
      <c r="O25">
        <f t="shared" ca="1" si="4"/>
        <v>-2.5516129619412094E-4</v>
      </c>
      <c r="Q25" s="2">
        <f t="shared" si="5"/>
        <v>15568.91</v>
      </c>
      <c r="R25" s="2"/>
      <c r="S25" s="2"/>
      <c r="T25" s="2"/>
    </row>
    <row r="26" spans="1:21" x14ac:dyDescent="0.2">
      <c r="A26" s="55" t="s">
        <v>73</v>
      </c>
      <c r="B26" s="56" t="s">
        <v>41</v>
      </c>
      <c r="C26" s="55">
        <v>32769.449999999997</v>
      </c>
      <c r="D26" s="55" t="s">
        <v>58</v>
      </c>
      <c r="E26">
        <f t="shared" si="0"/>
        <v>-333.99815374713108</v>
      </c>
      <c r="F26">
        <f t="shared" si="1"/>
        <v>-334</v>
      </c>
      <c r="G26">
        <f t="shared" si="2"/>
        <v>6.1040000000502914E-3</v>
      </c>
      <c r="I26">
        <f t="shared" si="3"/>
        <v>6.1040000000502914E-3</v>
      </c>
      <c r="O26">
        <f t="shared" ca="1" si="4"/>
        <v>9.8470607435129261E-4</v>
      </c>
      <c r="Q26" s="2">
        <f t="shared" si="5"/>
        <v>17750.949999999997</v>
      </c>
      <c r="R26" s="2"/>
      <c r="S26" s="2"/>
      <c r="T26" s="2"/>
    </row>
    <row r="27" spans="1:21" x14ac:dyDescent="0.2">
      <c r="A27" s="55" t="s">
        <v>73</v>
      </c>
      <c r="B27" s="56" t="s">
        <v>41</v>
      </c>
      <c r="C27" s="55">
        <v>32802.51</v>
      </c>
      <c r="D27" s="55" t="s">
        <v>58</v>
      </c>
      <c r="E27">
        <f t="shared" si="0"/>
        <v>-323.99862559419307</v>
      </c>
      <c r="F27">
        <f t="shared" si="1"/>
        <v>-324</v>
      </c>
      <c r="G27">
        <f t="shared" si="2"/>
        <v>4.5440000030794181E-3</v>
      </c>
      <c r="I27">
        <f t="shared" si="3"/>
        <v>4.5440000030794181E-3</v>
      </c>
      <c r="O27">
        <f t="shared" ca="1" si="4"/>
        <v>1.0034919436019809E-3</v>
      </c>
      <c r="Q27" s="2">
        <f t="shared" si="5"/>
        <v>17784.010000000002</v>
      </c>
      <c r="R27" s="2"/>
      <c r="S27" s="2"/>
      <c r="T27" s="2"/>
    </row>
    <row r="28" spans="1:21" x14ac:dyDescent="0.2">
      <c r="A28" s="55" t="s">
        <v>73</v>
      </c>
      <c r="B28" s="56" t="s">
        <v>41</v>
      </c>
      <c r="C28" s="55">
        <v>32822.339999999997</v>
      </c>
      <c r="D28" s="55" t="s">
        <v>58</v>
      </c>
      <c r="E28">
        <f t="shared" si="0"/>
        <v>-318.00072349883084</v>
      </c>
      <c r="F28">
        <f t="shared" si="1"/>
        <v>-318</v>
      </c>
      <c r="G28">
        <f t="shared" si="2"/>
        <v>-2.3920000021462329E-3</v>
      </c>
      <c r="I28">
        <f t="shared" si="3"/>
        <v>-2.3920000021462329E-3</v>
      </c>
      <c r="O28">
        <f t="shared" ca="1" si="4"/>
        <v>1.0147634651523935E-3</v>
      </c>
      <c r="Q28" s="2">
        <f t="shared" si="5"/>
        <v>17803.839999999997</v>
      </c>
      <c r="R28" s="2"/>
      <c r="S28" s="2"/>
      <c r="T28" s="2"/>
    </row>
    <row r="29" spans="1:21" x14ac:dyDescent="0.2">
      <c r="A29" s="55" t="s">
        <v>90</v>
      </c>
      <c r="B29" s="56" t="s">
        <v>41</v>
      </c>
      <c r="C29" s="55">
        <v>32888.464</v>
      </c>
      <c r="D29" s="55" t="s">
        <v>58</v>
      </c>
      <c r="E29">
        <f t="shared" si="0"/>
        <v>-298.00045732869143</v>
      </c>
      <c r="F29">
        <f t="shared" si="1"/>
        <v>-298</v>
      </c>
      <c r="G29">
        <f t="shared" si="2"/>
        <v>-1.5119999952730723E-3</v>
      </c>
      <c r="I29">
        <f t="shared" si="3"/>
        <v>-1.5119999952730723E-3</v>
      </c>
      <c r="O29">
        <f t="shared" ca="1" si="4"/>
        <v>1.0523352036537698E-3</v>
      </c>
      <c r="Q29" s="2">
        <f t="shared" si="5"/>
        <v>17869.964</v>
      </c>
      <c r="R29" s="2"/>
      <c r="S29" s="2"/>
      <c r="T29" s="2"/>
    </row>
    <row r="30" spans="1:21" x14ac:dyDescent="0.2">
      <c r="A30" s="55" t="s">
        <v>73</v>
      </c>
      <c r="B30" s="56" t="s">
        <v>41</v>
      </c>
      <c r="C30" s="55">
        <v>33209.18</v>
      </c>
      <c r="D30" s="55" t="s">
        <v>58</v>
      </c>
      <c r="E30">
        <f t="shared" si="0"/>
        <v>-200.99475039895177</v>
      </c>
      <c r="F30">
        <f t="shared" si="1"/>
        <v>-201</v>
      </c>
      <c r="G30">
        <f t="shared" si="2"/>
        <v>1.7356000003928784E-2</v>
      </c>
      <c r="I30">
        <f t="shared" si="3"/>
        <v>1.7356000003928784E-2</v>
      </c>
      <c r="O30">
        <f t="shared" ca="1" si="4"/>
        <v>1.2345581353854441E-3</v>
      </c>
      <c r="Q30" s="2">
        <f t="shared" si="5"/>
        <v>18190.68</v>
      </c>
      <c r="R30" s="2"/>
      <c r="S30" s="2"/>
      <c r="T30" s="2"/>
    </row>
    <row r="31" spans="1:21" x14ac:dyDescent="0.2">
      <c r="A31" s="55" t="s">
        <v>90</v>
      </c>
      <c r="B31" s="56" t="s">
        <v>41</v>
      </c>
      <c r="C31" s="55">
        <v>33232.294999999998</v>
      </c>
      <c r="D31" s="55" t="s">
        <v>58</v>
      </c>
      <c r="E31">
        <f t="shared" si="0"/>
        <v>-194.00324727568778</v>
      </c>
      <c r="F31">
        <f t="shared" si="1"/>
        <v>-194</v>
      </c>
      <c r="G31">
        <f t="shared" si="2"/>
        <v>-1.0735999996541068E-2</v>
      </c>
      <c r="I31">
        <f t="shared" si="3"/>
        <v>-1.0735999996541068E-2</v>
      </c>
      <c r="O31">
        <f t="shared" ca="1" si="4"/>
        <v>1.2477082438609257E-3</v>
      </c>
      <c r="Q31" s="2">
        <f t="shared" si="5"/>
        <v>18213.794999999998</v>
      </c>
      <c r="R31" s="2"/>
      <c r="S31" s="2"/>
      <c r="T31" s="2"/>
    </row>
    <row r="32" spans="1:21" x14ac:dyDescent="0.2">
      <c r="A32" s="55" t="s">
        <v>73</v>
      </c>
      <c r="B32" s="56" t="s">
        <v>41</v>
      </c>
      <c r="C32" s="55">
        <v>33513.33</v>
      </c>
      <c r="D32" s="55" t="s">
        <v>58</v>
      </c>
      <c r="E32">
        <f t="shared" si="0"/>
        <v>-108.999696324068</v>
      </c>
      <c r="F32">
        <f t="shared" si="1"/>
        <v>-109</v>
      </c>
      <c r="G32">
        <f t="shared" si="2"/>
        <v>1.0040000051958486E-3</v>
      </c>
      <c r="I32">
        <f t="shared" si="3"/>
        <v>1.0040000051958486E-3</v>
      </c>
      <c r="O32">
        <f t="shared" ca="1" si="4"/>
        <v>1.4073881324917746E-3</v>
      </c>
      <c r="Q32" s="2">
        <f t="shared" si="5"/>
        <v>18494.830000000002</v>
      </c>
      <c r="R32" s="2"/>
      <c r="S32" s="2"/>
      <c r="T32" s="2"/>
    </row>
    <row r="33" spans="1:34" x14ac:dyDescent="0.2">
      <c r="A33" s="55" t="s">
        <v>90</v>
      </c>
      <c r="B33" s="56" t="s">
        <v>41</v>
      </c>
      <c r="C33" s="55">
        <v>33652.19</v>
      </c>
      <c r="D33" s="55" t="s">
        <v>58</v>
      </c>
      <c r="E33">
        <f t="shared" si="0"/>
        <v>-66.999258353203771</v>
      </c>
      <c r="F33">
        <f t="shared" si="1"/>
        <v>-67</v>
      </c>
      <c r="G33">
        <f t="shared" si="2"/>
        <v>2.452000007906463E-3</v>
      </c>
      <c r="I33">
        <f t="shared" si="3"/>
        <v>2.452000007906463E-3</v>
      </c>
      <c r="O33">
        <f t="shared" ca="1" si="4"/>
        <v>1.4862887833446644E-3</v>
      </c>
      <c r="Q33" s="2">
        <f t="shared" si="5"/>
        <v>18633.690000000002</v>
      </c>
      <c r="R33" s="2"/>
      <c r="S33" s="2"/>
      <c r="T33" s="2"/>
    </row>
    <row r="34" spans="1:34" x14ac:dyDescent="0.2">
      <c r="A34" t="s">
        <v>12</v>
      </c>
      <c r="C34" s="11">
        <v>33873.699999999997</v>
      </c>
      <c r="D34" s="11" t="s">
        <v>14</v>
      </c>
      <c r="E34">
        <f t="shared" si="0"/>
        <v>0</v>
      </c>
      <c r="F34">
        <f t="shared" si="1"/>
        <v>0</v>
      </c>
      <c r="I34">
        <v>0</v>
      </c>
      <c r="O34">
        <f t="shared" ca="1" si="4"/>
        <v>1.6121541073242747E-3</v>
      </c>
      <c r="Q34" s="2">
        <f t="shared" si="5"/>
        <v>18855.199999999997</v>
      </c>
      <c r="R34" s="2"/>
      <c r="S34" s="2"/>
      <c r="T34" s="2"/>
    </row>
    <row r="35" spans="1:34" x14ac:dyDescent="0.2">
      <c r="A35" s="55" t="s">
        <v>105</v>
      </c>
      <c r="B35" s="56" t="s">
        <v>41</v>
      </c>
      <c r="C35" s="55">
        <v>34386.218000000001</v>
      </c>
      <c r="D35" s="55" t="s">
        <v>58</v>
      </c>
      <c r="E35">
        <f t="shared" si="0"/>
        <v>155.0193033843544</v>
      </c>
      <c r="F35">
        <f t="shared" si="1"/>
        <v>155</v>
      </c>
      <c r="O35">
        <f t="shared" ca="1" si="4"/>
        <v>1.90333508070994E-3</v>
      </c>
      <c r="Q35" s="2">
        <f t="shared" si="5"/>
        <v>19367.718000000001</v>
      </c>
      <c r="R35" s="2"/>
      <c r="S35" s="2"/>
      <c r="T35" s="2"/>
      <c r="U35">
        <f>+C35-(C$7+F35*C$8)</f>
        <v>6.3820000003033783E-2</v>
      </c>
    </row>
    <row r="36" spans="1:34" x14ac:dyDescent="0.2">
      <c r="A36" s="55" t="s">
        <v>90</v>
      </c>
      <c r="B36" s="56" t="s">
        <v>41</v>
      </c>
      <c r="C36" s="55">
        <v>34574.603000000003</v>
      </c>
      <c r="D36" s="55" t="s">
        <v>58</v>
      </c>
      <c r="E36">
        <f t="shared" si="0"/>
        <v>211.99937329031229</v>
      </c>
      <c r="F36">
        <f t="shared" si="1"/>
        <v>212</v>
      </c>
      <c r="G36">
        <f>+C36-(C$7+F36*C$8)</f>
        <v>-2.0719999956781976E-3</v>
      </c>
      <c r="I36">
        <f>+G36</f>
        <v>-2.0719999956781976E-3</v>
      </c>
      <c r="O36">
        <f t="shared" ca="1" si="4"/>
        <v>2.0104145354388619E-3</v>
      </c>
      <c r="Q36" s="2">
        <f t="shared" si="5"/>
        <v>19556.103000000003</v>
      </c>
      <c r="R36" s="2"/>
      <c r="S36" s="2"/>
      <c r="T36" s="2"/>
    </row>
    <row r="37" spans="1:34" x14ac:dyDescent="0.2">
      <c r="A37" s="55" t="s">
        <v>90</v>
      </c>
      <c r="B37" s="56" t="s">
        <v>41</v>
      </c>
      <c r="C37" s="55">
        <v>34918.457999999999</v>
      </c>
      <c r="D37" s="55" t="s">
        <v>58</v>
      </c>
      <c r="E37">
        <f t="shared" si="0"/>
        <v>316.00384252890717</v>
      </c>
      <c r="F37">
        <f t="shared" si="1"/>
        <v>316</v>
      </c>
      <c r="G37">
        <f>+C37-(C$7+F37*C$8)</f>
        <v>1.2704000000667293E-2</v>
      </c>
      <c r="I37">
        <f>+G37</f>
        <v>1.2704000000667293E-2</v>
      </c>
      <c r="O37">
        <f t="shared" ca="1" si="4"/>
        <v>2.2057875756460181E-3</v>
      </c>
      <c r="Q37" s="2">
        <f t="shared" si="5"/>
        <v>19899.957999999999</v>
      </c>
      <c r="R37" s="2"/>
      <c r="S37" s="2"/>
      <c r="T37" s="2"/>
    </row>
    <row r="38" spans="1:34" x14ac:dyDescent="0.2">
      <c r="A38" s="55" t="s">
        <v>114</v>
      </c>
      <c r="B38" s="56" t="s">
        <v>41</v>
      </c>
      <c r="C38" s="55">
        <v>37606.355000000003</v>
      </c>
      <c r="D38" s="55" t="s">
        <v>58</v>
      </c>
      <c r="E38">
        <f t="shared" si="0"/>
        <v>1129.0014748245412</v>
      </c>
      <c r="F38">
        <f t="shared" si="1"/>
        <v>1129</v>
      </c>
      <c r="G38">
        <f>+C38-(C$7+F38*C$8)</f>
        <v>4.8760000063339248E-3</v>
      </c>
      <c r="I38">
        <f>+G38</f>
        <v>4.8760000063339248E-3</v>
      </c>
      <c r="O38">
        <f t="shared" ca="1" si="4"/>
        <v>3.7330787457269593E-3</v>
      </c>
      <c r="Q38" s="2">
        <f t="shared" si="5"/>
        <v>22587.855000000003</v>
      </c>
      <c r="R38" s="2"/>
      <c r="S38" s="2"/>
      <c r="T38" s="2"/>
    </row>
    <row r="39" spans="1:34" x14ac:dyDescent="0.2">
      <c r="A39" s="55" t="s">
        <v>114</v>
      </c>
      <c r="B39" s="56" t="s">
        <v>41</v>
      </c>
      <c r="C39" s="55">
        <v>38664.305</v>
      </c>
      <c r="D39" s="55" t="s">
        <v>58</v>
      </c>
      <c r="E39">
        <f t="shared" si="0"/>
        <v>1448.995449700499</v>
      </c>
      <c r="F39">
        <f t="shared" si="1"/>
        <v>1449</v>
      </c>
      <c r="G39">
        <f>+C39-(C$7+F39*C$8)</f>
        <v>-1.5043999999761581E-2</v>
      </c>
      <c r="I39">
        <f>+G39</f>
        <v>-1.5043999999761581E-2</v>
      </c>
      <c r="O39">
        <f t="shared" ca="1" si="4"/>
        <v>4.3342265617489781E-3</v>
      </c>
      <c r="Q39" s="2">
        <f t="shared" si="5"/>
        <v>23645.805</v>
      </c>
      <c r="R39" s="2"/>
      <c r="S39" s="2"/>
      <c r="T39" s="2"/>
    </row>
    <row r="40" spans="1:34" x14ac:dyDescent="0.2">
      <c r="A40" s="55" t="s">
        <v>123</v>
      </c>
      <c r="B40" s="56" t="s">
        <v>41</v>
      </c>
      <c r="C40" s="55">
        <v>46645.466</v>
      </c>
      <c r="D40" s="55" t="s">
        <v>58</v>
      </c>
      <c r="E40">
        <f t="shared" si="0"/>
        <v>3863.0258221330159</v>
      </c>
      <c r="F40">
        <f t="shared" si="1"/>
        <v>3863</v>
      </c>
      <c r="O40">
        <f t="shared" ca="1" si="4"/>
        <v>8.8691353988650818E-3</v>
      </c>
      <c r="Q40" s="2">
        <f t="shared" si="5"/>
        <v>31626.966</v>
      </c>
      <c r="R40" s="2"/>
      <c r="S40" s="2"/>
      <c r="T40" s="2"/>
      <c r="U40">
        <f>+C40-(C$7+F40*C$8)</f>
        <v>8.5372000001370907E-2</v>
      </c>
    </row>
    <row r="41" spans="1:34" x14ac:dyDescent="0.2">
      <c r="A41" s="55" t="s">
        <v>165</v>
      </c>
      <c r="B41" s="56" t="s">
        <v>41</v>
      </c>
      <c r="C41" s="55">
        <v>48953.078000000001</v>
      </c>
      <c r="D41" s="55" t="s">
        <v>58</v>
      </c>
      <c r="E41">
        <f t="shared" si="0"/>
        <v>4561.0001463935769</v>
      </c>
      <c r="F41">
        <f t="shared" si="1"/>
        <v>4561</v>
      </c>
      <c r="G41">
        <f>+C41-(C$7+F41*C$8)</f>
        <v>4.8400000378023833E-4</v>
      </c>
      <c r="J41">
        <f>+G41</f>
        <v>4.8400000378023833E-4</v>
      </c>
      <c r="O41">
        <f t="shared" ca="1" si="4"/>
        <v>1.018038907256311E-2</v>
      </c>
      <c r="Q41" s="2">
        <f t="shared" si="5"/>
        <v>33934.578000000001</v>
      </c>
      <c r="R41" s="2" t="s">
        <v>52</v>
      </c>
      <c r="S41" s="2"/>
      <c r="T41" s="2"/>
    </row>
    <row r="42" spans="1:34" x14ac:dyDescent="0.2">
      <c r="A42" t="s">
        <v>29</v>
      </c>
      <c r="C42" s="28">
        <v>50715.35</v>
      </c>
      <c r="D42" s="11">
        <v>4.0000000000000001E-3</v>
      </c>
      <c r="E42">
        <f t="shared" si="0"/>
        <v>5094.0276260406345</v>
      </c>
      <c r="F42">
        <f t="shared" si="1"/>
        <v>5094</v>
      </c>
      <c r="O42">
        <f t="shared" ca="1" si="4"/>
        <v>1.1181675903624785E-2</v>
      </c>
      <c r="Q42" s="2">
        <f t="shared" si="5"/>
        <v>35696.85</v>
      </c>
      <c r="R42" s="2"/>
      <c r="S42" s="2"/>
      <c r="T42" s="2"/>
      <c r="U42" s="41">
        <f>+C42-(C$7+F42*C$8)</f>
        <v>9.1336000004957896E-2</v>
      </c>
      <c r="AD42">
        <v>8</v>
      </c>
      <c r="AF42" t="s">
        <v>28</v>
      </c>
      <c r="AH42" t="s">
        <v>30</v>
      </c>
    </row>
    <row r="43" spans="1:34" x14ac:dyDescent="0.2">
      <c r="A43" s="34" t="s">
        <v>42</v>
      </c>
      <c r="B43" s="35" t="s">
        <v>41</v>
      </c>
      <c r="C43" s="34">
        <v>52196.42931</v>
      </c>
      <c r="D43" s="34" t="s">
        <v>43</v>
      </c>
      <c r="E43">
        <f t="shared" si="0"/>
        <v>5542.0038588620746</v>
      </c>
      <c r="F43">
        <f t="shared" si="1"/>
        <v>5542</v>
      </c>
      <c r="G43">
        <f>+C43-(C$7+F43*C$8)</f>
        <v>1.2758000004396308E-2</v>
      </c>
      <c r="K43">
        <f>+G43</f>
        <v>1.2758000004396308E-2</v>
      </c>
      <c r="O43">
        <f t="shared" ca="1" si="4"/>
        <v>1.2023282846055611E-2</v>
      </c>
      <c r="Q43" s="2">
        <f t="shared" si="5"/>
        <v>37177.92931</v>
      </c>
      <c r="R43" s="2"/>
      <c r="S43" s="2"/>
      <c r="T43" s="2"/>
    </row>
    <row r="44" spans="1:34" x14ac:dyDescent="0.2">
      <c r="A44" s="55" t="s">
        <v>147</v>
      </c>
      <c r="B44" s="56" t="s">
        <v>41</v>
      </c>
      <c r="C44" s="55">
        <v>52196.442000000003</v>
      </c>
      <c r="D44" s="55" t="s">
        <v>58</v>
      </c>
      <c r="E44">
        <f t="shared" si="0"/>
        <v>5542.0076971564577</v>
      </c>
      <c r="F44">
        <f t="shared" si="1"/>
        <v>5542</v>
      </c>
      <c r="G44">
        <f>+C44-(C$7+F44*C$8)</f>
        <v>2.5448000007600058E-2</v>
      </c>
      <c r="I44">
        <f>+G44</f>
        <v>2.5448000007600058E-2</v>
      </c>
      <c r="O44">
        <f t="shared" ca="1" si="4"/>
        <v>1.2023282846055611E-2</v>
      </c>
      <c r="Q44" s="2">
        <f t="shared" si="5"/>
        <v>37177.942000000003</v>
      </c>
      <c r="R44" s="2"/>
      <c r="S44" s="2"/>
      <c r="T44" s="2"/>
    </row>
    <row r="45" spans="1:34" x14ac:dyDescent="0.2">
      <c r="A45" s="26" t="s">
        <v>40</v>
      </c>
      <c r="B45" s="27" t="s">
        <v>41</v>
      </c>
      <c r="C45" s="11">
        <v>54031.340199999999</v>
      </c>
      <c r="D45" s="11">
        <v>3.8999999999999998E-3</v>
      </c>
      <c r="E45">
        <f t="shared" si="0"/>
        <v>6097.0021378301572</v>
      </c>
      <c r="F45">
        <f t="shared" si="1"/>
        <v>6097</v>
      </c>
      <c r="G45">
        <f>+C45-(C$7+F45*C$8)</f>
        <v>7.0679999989806674E-3</v>
      </c>
      <c r="J45">
        <f>+G45</f>
        <v>7.0679999989806674E-3</v>
      </c>
      <c r="O45">
        <f t="shared" ca="1" si="4"/>
        <v>1.30658985894688E-2</v>
      </c>
      <c r="Q45" s="2">
        <f t="shared" si="5"/>
        <v>39012.840199999999</v>
      </c>
      <c r="R45" s="2" t="s">
        <v>52</v>
      </c>
      <c r="S45" s="2"/>
      <c r="T45" s="2"/>
    </row>
    <row r="46" spans="1:34" x14ac:dyDescent="0.2">
      <c r="A46" s="55" t="s">
        <v>159</v>
      </c>
      <c r="B46" s="56" t="s">
        <v>41</v>
      </c>
      <c r="C46" s="55">
        <v>54798.3753</v>
      </c>
      <c r="D46" s="55" t="s">
        <v>58</v>
      </c>
      <c r="E46">
        <f t="shared" si="0"/>
        <v>6329.0042272657438</v>
      </c>
      <c r="F46">
        <f t="shared" si="1"/>
        <v>6329</v>
      </c>
      <c r="G46">
        <f>+C46-(C$7+F46*C$8)</f>
        <v>1.3976000002003275E-2</v>
      </c>
      <c r="I46">
        <f>+G46</f>
        <v>1.3976000002003275E-2</v>
      </c>
      <c r="O46">
        <f t="shared" ca="1" si="4"/>
        <v>1.3501730756084764E-2</v>
      </c>
      <c r="Q46" s="2">
        <f t="shared" si="5"/>
        <v>39779.8753</v>
      </c>
      <c r="R46" s="2"/>
      <c r="S46" s="2"/>
      <c r="T46" s="2"/>
    </row>
    <row r="47" spans="1:34" x14ac:dyDescent="0.2">
      <c r="A47" s="36" t="s">
        <v>47</v>
      </c>
      <c r="B47" s="37" t="s">
        <v>41</v>
      </c>
      <c r="C47" s="38">
        <v>56590.313900000001</v>
      </c>
      <c r="D47" s="39">
        <v>4.5999999999999999E-3</v>
      </c>
      <c r="E47">
        <f t="shared" si="0"/>
        <v>6871.0048467162478</v>
      </c>
      <c r="F47">
        <f t="shared" si="1"/>
        <v>6871</v>
      </c>
      <c r="G47">
        <f>+C47-(C$7+F47*C$8)</f>
        <v>1.602400000410853E-2</v>
      </c>
      <c r="J47">
        <f>+G47</f>
        <v>1.602400000410853E-2</v>
      </c>
      <c r="O47">
        <f t="shared" ca="1" si="4"/>
        <v>1.4519924869472057E-2</v>
      </c>
      <c r="Q47" s="2">
        <f t="shared" si="5"/>
        <v>41571.813900000001</v>
      </c>
      <c r="R47" s="2" t="s">
        <v>52</v>
      </c>
      <c r="S47" s="2"/>
      <c r="T47" s="2"/>
    </row>
    <row r="48" spans="1:34" x14ac:dyDescent="0.2">
      <c r="B48" s="16"/>
      <c r="C48" s="11"/>
      <c r="D48" s="11"/>
    </row>
    <row r="49" spans="2:4" x14ac:dyDescent="0.2">
      <c r="B49" s="16"/>
      <c r="C49" s="11"/>
      <c r="D49" s="11"/>
    </row>
    <row r="50" spans="2:4" x14ac:dyDescent="0.2">
      <c r="B50" s="16"/>
      <c r="C50" s="11"/>
      <c r="D50" s="11"/>
    </row>
    <row r="51" spans="2:4" x14ac:dyDescent="0.2">
      <c r="B51" s="16"/>
      <c r="C51" s="11"/>
      <c r="D51" s="11"/>
    </row>
    <row r="52" spans="2:4" x14ac:dyDescent="0.2">
      <c r="B52" s="16"/>
      <c r="C52" s="11"/>
      <c r="D52" s="11"/>
    </row>
    <row r="53" spans="2:4" x14ac:dyDescent="0.2">
      <c r="C53" s="11"/>
      <c r="D53" s="11"/>
    </row>
    <row r="54" spans="2:4" x14ac:dyDescent="0.2">
      <c r="C54" s="11"/>
      <c r="D54" s="11"/>
    </row>
    <row r="55" spans="2:4" x14ac:dyDescent="0.2">
      <c r="C55" s="11"/>
      <c r="D55" s="11"/>
    </row>
    <row r="56" spans="2:4" x14ac:dyDescent="0.2">
      <c r="C56" s="11"/>
      <c r="D56" s="11"/>
    </row>
    <row r="57" spans="2:4" x14ac:dyDescent="0.2">
      <c r="C57" s="11"/>
      <c r="D57" s="11"/>
    </row>
    <row r="58" spans="2:4" x14ac:dyDescent="0.2">
      <c r="C58" s="11"/>
      <c r="D58" s="11"/>
    </row>
    <row r="59" spans="2:4" x14ac:dyDescent="0.2">
      <c r="C59" s="11"/>
      <c r="D59" s="11"/>
    </row>
    <row r="60" spans="2:4" x14ac:dyDescent="0.2">
      <c r="C60" s="11"/>
      <c r="D60" s="11"/>
    </row>
    <row r="61" spans="2:4" x14ac:dyDescent="0.2">
      <c r="C61" s="11"/>
      <c r="D61" s="11"/>
    </row>
    <row r="62" spans="2:4" x14ac:dyDescent="0.2">
      <c r="C62" s="11"/>
      <c r="D62" s="11"/>
    </row>
    <row r="63" spans="2:4" x14ac:dyDescent="0.2">
      <c r="C63" s="11"/>
      <c r="D63" s="11"/>
    </row>
    <row r="64" spans="2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6"/>
  <sheetViews>
    <sheetView workbookViewId="0">
      <selection activeCell="A15" sqref="A15:D36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2" t="s">
        <v>49</v>
      </c>
      <c r="I1" s="43" t="s">
        <v>50</v>
      </c>
      <c r="J1" s="44" t="s">
        <v>43</v>
      </c>
    </row>
    <row r="2" spans="1:16" x14ac:dyDescent="0.2">
      <c r="I2" s="45" t="s">
        <v>51</v>
      </c>
      <c r="J2" s="46" t="s">
        <v>52</v>
      </c>
    </row>
    <row r="3" spans="1:16" x14ac:dyDescent="0.2">
      <c r="A3" s="47" t="s">
        <v>53</v>
      </c>
      <c r="I3" s="45" t="s">
        <v>54</v>
      </c>
      <c r="J3" s="46" t="s">
        <v>55</v>
      </c>
    </row>
    <row r="4" spans="1:16" x14ac:dyDescent="0.2">
      <c r="I4" s="45" t="s">
        <v>56</v>
      </c>
      <c r="J4" s="46" t="s">
        <v>55</v>
      </c>
    </row>
    <row r="5" spans="1:16" ht="13.5" thickBot="1" x14ac:dyDescent="0.25">
      <c r="I5" s="48" t="s">
        <v>57</v>
      </c>
      <c r="J5" s="49" t="s">
        <v>58</v>
      </c>
    </row>
    <row r="10" spans="1:16" ht="13.5" thickBot="1" x14ac:dyDescent="0.25"/>
    <row r="11" spans="1:16" ht="12.75" customHeight="1" thickBot="1" x14ac:dyDescent="0.25">
      <c r="A11" s="11" t="str">
        <f t="shared" ref="A11:A36" si="0">P11</f>
        <v> BBS 116 </v>
      </c>
      <c r="B11" s="16" t="str">
        <f t="shared" ref="B11:B36" si="1">IF(H11=INT(H11),"I","II")</f>
        <v>I</v>
      </c>
      <c r="C11" s="11">
        <f t="shared" ref="C11:C36" si="2">1*G11</f>
        <v>50715.35</v>
      </c>
      <c r="D11" s="14" t="str">
        <f t="shared" ref="D11:D36" si="3">VLOOKUP(F11,I$1:J$5,2,FALSE)</f>
        <v>vis</v>
      </c>
      <c r="E11" s="50">
        <f>VLOOKUP(C11,Active!C$21:E$973,3,FALSE)</f>
        <v>5094.0276260406345</v>
      </c>
      <c r="F11" s="16" t="s">
        <v>57</v>
      </c>
      <c r="G11" s="14" t="str">
        <f t="shared" ref="G11:G36" si="4">MID(I11,3,LEN(I11)-3)</f>
        <v>50715.350</v>
      </c>
      <c r="H11" s="11">
        <f t="shared" ref="H11:H36" si="5">1*K11</f>
        <v>5094</v>
      </c>
      <c r="I11" s="51" t="s">
        <v>131</v>
      </c>
      <c r="J11" s="52" t="s">
        <v>132</v>
      </c>
      <c r="K11" s="51">
        <v>5094</v>
      </c>
      <c r="L11" s="51" t="s">
        <v>133</v>
      </c>
      <c r="M11" s="52" t="s">
        <v>121</v>
      </c>
      <c r="N11" s="52"/>
      <c r="O11" s="53" t="s">
        <v>134</v>
      </c>
      <c r="P11" s="53" t="s">
        <v>135</v>
      </c>
    </row>
    <row r="12" spans="1:16" ht="12.75" customHeight="1" thickBot="1" x14ac:dyDescent="0.25">
      <c r="A12" s="11" t="str">
        <f t="shared" si="0"/>
        <v>OEJV 0074 </v>
      </c>
      <c r="B12" s="16" t="str">
        <f t="shared" si="1"/>
        <v>I</v>
      </c>
      <c r="C12" s="11">
        <f t="shared" si="2"/>
        <v>52196.42931</v>
      </c>
      <c r="D12" s="14" t="str">
        <f t="shared" si="3"/>
        <v>vis</v>
      </c>
      <c r="E12" s="50">
        <f>VLOOKUP(C12,Active!C$21:E$973,3,FALSE)</f>
        <v>5542.0038588620746</v>
      </c>
      <c r="F12" s="16" t="s">
        <v>57</v>
      </c>
      <c r="G12" s="14" t="str">
        <f t="shared" si="4"/>
        <v>52196.42931</v>
      </c>
      <c r="H12" s="11">
        <f t="shared" si="5"/>
        <v>5542</v>
      </c>
      <c r="I12" s="51" t="s">
        <v>136</v>
      </c>
      <c r="J12" s="52" t="s">
        <v>137</v>
      </c>
      <c r="K12" s="51">
        <v>5542</v>
      </c>
      <c r="L12" s="51" t="s">
        <v>138</v>
      </c>
      <c r="M12" s="52" t="s">
        <v>139</v>
      </c>
      <c r="N12" s="52" t="s">
        <v>140</v>
      </c>
      <c r="O12" s="53" t="s">
        <v>141</v>
      </c>
      <c r="P12" s="54" t="s">
        <v>142</v>
      </c>
    </row>
    <row r="13" spans="1:16" ht="12.75" customHeight="1" thickBot="1" x14ac:dyDescent="0.25">
      <c r="A13" s="11" t="str">
        <f t="shared" si="0"/>
        <v>BAVM 183 </v>
      </c>
      <c r="B13" s="16" t="str">
        <f t="shared" si="1"/>
        <v>I</v>
      </c>
      <c r="C13" s="11">
        <f t="shared" si="2"/>
        <v>54031.340199999999</v>
      </c>
      <c r="D13" s="14" t="str">
        <f t="shared" si="3"/>
        <v>vis</v>
      </c>
      <c r="E13" s="50">
        <f>VLOOKUP(C13,Active!C$21:E$973,3,FALSE)</f>
        <v>6097.0021378301572</v>
      </c>
      <c r="F13" s="16" t="s">
        <v>57</v>
      </c>
      <c r="G13" s="14" t="str">
        <f t="shared" si="4"/>
        <v>54031.3402</v>
      </c>
      <c r="H13" s="11">
        <f t="shared" si="5"/>
        <v>6097</v>
      </c>
      <c r="I13" s="51" t="s">
        <v>148</v>
      </c>
      <c r="J13" s="52" t="s">
        <v>149</v>
      </c>
      <c r="K13" s="51">
        <v>6097</v>
      </c>
      <c r="L13" s="51" t="s">
        <v>150</v>
      </c>
      <c r="M13" s="52" t="s">
        <v>139</v>
      </c>
      <c r="N13" s="52" t="s">
        <v>151</v>
      </c>
      <c r="O13" s="53" t="s">
        <v>152</v>
      </c>
      <c r="P13" s="54" t="s">
        <v>153</v>
      </c>
    </row>
    <row r="14" spans="1:16" ht="12.75" customHeight="1" thickBot="1" x14ac:dyDescent="0.25">
      <c r="A14" s="11" t="str">
        <f t="shared" si="0"/>
        <v>BAVM 234 </v>
      </c>
      <c r="B14" s="16" t="str">
        <f t="shared" si="1"/>
        <v>I</v>
      </c>
      <c r="C14" s="11">
        <f t="shared" si="2"/>
        <v>56590.313900000001</v>
      </c>
      <c r="D14" s="14" t="str">
        <f t="shared" si="3"/>
        <v>vis</v>
      </c>
      <c r="E14" s="50">
        <f>VLOOKUP(C14,Active!C$21:E$973,3,FALSE)</f>
        <v>6871.0048467162478</v>
      </c>
      <c r="F14" s="16" t="s">
        <v>57</v>
      </c>
      <c r="G14" s="14" t="str">
        <f t="shared" si="4"/>
        <v>56590.3139</v>
      </c>
      <c r="H14" s="11">
        <f t="shared" si="5"/>
        <v>6871</v>
      </c>
      <c r="I14" s="51" t="s">
        <v>160</v>
      </c>
      <c r="J14" s="52" t="s">
        <v>161</v>
      </c>
      <c r="K14" s="51" t="s">
        <v>162</v>
      </c>
      <c r="L14" s="51" t="s">
        <v>163</v>
      </c>
      <c r="M14" s="52" t="s">
        <v>139</v>
      </c>
      <c r="N14" s="52" t="s">
        <v>151</v>
      </c>
      <c r="O14" s="53" t="s">
        <v>158</v>
      </c>
      <c r="P14" s="54" t="s">
        <v>164</v>
      </c>
    </row>
    <row r="15" spans="1:16" ht="12.75" customHeight="1" thickBot="1" x14ac:dyDescent="0.25">
      <c r="A15" s="11" t="str">
        <f t="shared" si="0"/>
        <v> PZ 5.212 </v>
      </c>
      <c r="B15" s="16" t="str">
        <f t="shared" si="1"/>
        <v>I</v>
      </c>
      <c r="C15" s="11">
        <f t="shared" si="2"/>
        <v>28081.31</v>
      </c>
      <c r="D15" s="14" t="str">
        <f t="shared" si="3"/>
        <v>vis</v>
      </c>
      <c r="E15" s="50">
        <f>VLOOKUP(C15,Active!C$21:E$973,3,FALSE)</f>
        <v>-1752.0014179609177</v>
      </c>
      <c r="F15" s="16" t="s">
        <v>57</v>
      </c>
      <c r="G15" s="14" t="str">
        <f t="shared" si="4"/>
        <v>28081.31</v>
      </c>
      <c r="H15" s="11">
        <f t="shared" si="5"/>
        <v>-1752</v>
      </c>
      <c r="I15" s="51" t="s">
        <v>60</v>
      </c>
      <c r="J15" s="52" t="s">
        <v>61</v>
      </c>
      <c r="K15" s="51">
        <v>-1752</v>
      </c>
      <c r="L15" s="51" t="s">
        <v>62</v>
      </c>
      <c r="M15" s="52" t="s">
        <v>63</v>
      </c>
      <c r="N15" s="52"/>
      <c r="O15" s="53" t="s">
        <v>64</v>
      </c>
      <c r="P15" s="53" t="s">
        <v>65</v>
      </c>
    </row>
    <row r="16" spans="1:16" ht="12.75" customHeight="1" thickBot="1" x14ac:dyDescent="0.25">
      <c r="A16" s="11" t="str">
        <f t="shared" si="0"/>
        <v> PZ 5.212 </v>
      </c>
      <c r="B16" s="16" t="str">
        <f t="shared" si="1"/>
        <v>I</v>
      </c>
      <c r="C16" s="11">
        <f t="shared" si="2"/>
        <v>28805.32</v>
      </c>
      <c r="D16" s="14" t="str">
        <f t="shared" si="3"/>
        <v>vis</v>
      </c>
      <c r="E16" s="50">
        <f>VLOOKUP(C16,Active!C$21:E$973,3,FALSE)</f>
        <v>-1533.0129612758735</v>
      </c>
      <c r="F16" s="16" t="s">
        <v>57</v>
      </c>
      <c r="G16" s="14" t="str">
        <f t="shared" si="4"/>
        <v>28805.32</v>
      </c>
      <c r="H16" s="11">
        <f t="shared" si="5"/>
        <v>-1533</v>
      </c>
      <c r="I16" s="51" t="s">
        <v>66</v>
      </c>
      <c r="J16" s="52" t="s">
        <v>67</v>
      </c>
      <c r="K16" s="51">
        <v>-1533</v>
      </c>
      <c r="L16" s="51" t="s">
        <v>68</v>
      </c>
      <c r="M16" s="52" t="s">
        <v>63</v>
      </c>
      <c r="N16" s="52"/>
      <c r="O16" s="53" t="s">
        <v>64</v>
      </c>
      <c r="P16" s="53" t="s">
        <v>65</v>
      </c>
    </row>
    <row r="17" spans="1:16" ht="12.75" customHeight="1" thickBot="1" x14ac:dyDescent="0.25">
      <c r="A17" s="11" t="str">
        <f t="shared" si="0"/>
        <v> PZ 9.142 </v>
      </c>
      <c r="B17" s="16" t="str">
        <f t="shared" si="1"/>
        <v>I</v>
      </c>
      <c r="C17" s="11">
        <f t="shared" si="2"/>
        <v>29549.26</v>
      </c>
      <c r="D17" s="14" t="str">
        <f t="shared" si="3"/>
        <v>vis</v>
      </c>
      <c r="E17" s="50">
        <f>VLOOKUP(C17,Active!C$21:E$973,3,FALSE)</f>
        <v>-1307.9963558888323</v>
      </c>
      <c r="F17" s="16" t="s">
        <v>57</v>
      </c>
      <c r="G17" s="14" t="str">
        <f t="shared" si="4"/>
        <v>29549.26</v>
      </c>
      <c r="H17" s="11">
        <f t="shared" si="5"/>
        <v>-1308</v>
      </c>
      <c r="I17" s="51" t="s">
        <v>69</v>
      </c>
      <c r="J17" s="52" t="s">
        <v>70</v>
      </c>
      <c r="K17" s="51">
        <v>-1308</v>
      </c>
      <c r="L17" s="51" t="s">
        <v>71</v>
      </c>
      <c r="M17" s="52" t="s">
        <v>63</v>
      </c>
      <c r="N17" s="52"/>
      <c r="O17" s="53" t="s">
        <v>72</v>
      </c>
      <c r="P17" s="53" t="s">
        <v>73</v>
      </c>
    </row>
    <row r="18" spans="1:16" ht="12.75" customHeight="1" thickBot="1" x14ac:dyDescent="0.25">
      <c r="A18" s="11" t="str">
        <f t="shared" si="0"/>
        <v> PZ 9.142 </v>
      </c>
      <c r="B18" s="16" t="str">
        <f t="shared" si="1"/>
        <v>I</v>
      </c>
      <c r="C18" s="11">
        <f t="shared" si="2"/>
        <v>29853.42</v>
      </c>
      <c r="D18" s="14" t="str">
        <f t="shared" si="3"/>
        <v>vis</v>
      </c>
      <c r="E18" s="50">
        <f>VLOOKUP(C18,Active!C$21:E$973,3,FALSE)</f>
        <v>-1215.9982771532857</v>
      </c>
      <c r="F18" s="16" t="s">
        <v>57</v>
      </c>
      <c r="G18" s="14" t="str">
        <f t="shared" si="4"/>
        <v>29853.42</v>
      </c>
      <c r="H18" s="11">
        <f t="shared" si="5"/>
        <v>-1216</v>
      </c>
      <c r="I18" s="51" t="s">
        <v>74</v>
      </c>
      <c r="J18" s="52" t="s">
        <v>75</v>
      </c>
      <c r="K18" s="51">
        <v>-1216</v>
      </c>
      <c r="L18" s="51" t="s">
        <v>71</v>
      </c>
      <c r="M18" s="52" t="s">
        <v>63</v>
      </c>
      <c r="N18" s="52"/>
      <c r="O18" s="53" t="s">
        <v>72</v>
      </c>
      <c r="P18" s="53" t="s">
        <v>73</v>
      </c>
    </row>
    <row r="19" spans="1:16" ht="12.75" customHeight="1" thickBot="1" x14ac:dyDescent="0.25">
      <c r="A19" s="11" t="str">
        <f t="shared" si="0"/>
        <v> PZ 9.142 </v>
      </c>
      <c r="B19" s="16" t="str">
        <f t="shared" si="1"/>
        <v>I</v>
      </c>
      <c r="C19" s="11">
        <f t="shared" si="2"/>
        <v>30587.41</v>
      </c>
      <c r="D19" s="14" t="str">
        <f t="shared" si="3"/>
        <v>vis</v>
      </c>
      <c r="E19" s="50">
        <f>VLOOKUP(C19,Active!C$21:E$973,3,FALSE)</f>
        <v>-993.99120912624721</v>
      </c>
      <c r="F19" s="16" t="s">
        <v>57</v>
      </c>
      <c r="G19" s="14" t="str">
        <f t="shared" si="4"/>
        <v>30587.41</v>
      </c>
      <c r="H19" s="11">
        <f t="shared" si="5"/>
        <v>-994</v>
      </c>
      <c r="I19" s="51" t="s">
        <v>76</v>
      </c>
      <c r="J19" s="52" t="s">
        <v>77</v>
      </c>
      <c r="K19" s="51">
        <v>-994</v>
      </c>
      <c r="L19" s="51" t="s">
        <v>78</v>
      </c>
      <c r="M19" s="52" t="s">
        <v>63</v>
      </c>
      <c r="N19" s="52"/>
      <c r="O19" s="53" t="s">
        <v>72</v>
      </c>
      <c r="P19" s="53" t="s">
        <v>73</v>
      </c>
    </row>
    <row r="20" spans="1:16" ht="12.75" customHeight="1" thickBot="1" x14ac:dyDescent="0.25">
      <c r="A20" s="11" t="str">
        <f t="shared" si="0"/>
        <v> PZ 9.142 </v>
      </c>
      <c r="B20" s="16" t="str">
        <f t="shared" si="1"/>
        <v>I</v>
      </c>
      <c r="C20" s="11">
        <f t="shared" si="2"/>
        <v>32769.449999999997</v>
      </c>
      <c r="D20" s="14" t="str">
        <f t="shared" si="3"/>
        <v>vis</v>
      </c>
      <c r="E20" s="50">
        <f>VLOOKUP(C20,Active!C$21:E$973,3,FALSE)</f>
        <v>-333.99815374713108</v>
      </c>
      <c r="F20" s="16" t="s">
        <v>57</v>
      </c>
      <c r="G20" s="14" t="str">
        <f t="shared" si="4"/>
        <v>32769.45</v>
      </c>
      <c r="H20" s="11">
        <f t="shared" si="5"/>
        <v>-334</v>
      </c>
      <c r="I20" s="51" t="s">
        <v>79</v>
      </c>
      <c r="J20" s="52" t="s">
        <v>80</v>
      </c>
      <c r="K20" s="51">
        <v>-334</v>
      </c>
      <c r="L20" s="51" t="s">
        <v>62</v>
      </c>
      <c r="M20" s="52" t="s">
        <v>63</v>
      </c>
      <c r="N20" s="52"/>
      <c r="O20" s="53" t="s">
        <v>72</v>
      </c>
      <c r="P20" s="53" t="s">
        <v>73</v>
      </c>
    </row>
    <row r="21" spans="1:16" ht="12.75" customHeight="1" thickBot="1" x14ac:dyDescent="0.25">
      <c r="A21" s="11" t="str">
        <f t="shared" si="0"/>
        <v> PZ 9.142 </v>
      </c>
      <c r="B21" s="16" t="str">
        <f t="shared" si="1"/>
        <v>I</v>
      </c>
      <c r="C21" s="11">
        <f t="shared" si="2"/>
        <v>32802.51</v>
      </c>
      <c r="D21" s="14" t="str">
        <f t="shared" si="3"/>
        <v>vis</v>
      </c>
      <c r="E21" s="50">
        <f>VLOOKUP(C21,Active!C$21:E$973,3,FALSE)</f>
        <v>-323.99862559419307</v>
      </c>
      <c r="F21" s="16" t="s">
        <v>57</v>
      </c>
      <c r="G21" s="14" t="str">
        <f t="shared" si="4"/>
        <v>32802.51</v>
      </c>
      <c r="H21" s="11">
        <f t="shared" si="5"/>
        <v>-324</v>
      </c>
      <c r="I21" s="51" t="s">
        <v>81</v>
      </c>
      <c r="J21" s="52" t="s">
        <v>82</v>
      </c>
      <c r="K21" s="51">
        <v>-324</v>
      </c>
      <c r="L21" s="51" t="s">
        <v>62</v>
      </c>
      <c r="M21" s="52" t="s">
        <v>63</v>
      </c>
      <c r="N21" s="52"/>
      <c r="O21" s="53" t="s">
        <v>72</v>
      </c>
      <c r="P21" s="53" t="s">
        <v>73</v>
      </c>
    </row>
    <row r="22" spans="1:16" ht="12.75" customHeight="1" thickBot="1" x14ac:dyDescent="0.25">
      <c r="A22" s="11" t="str">
        <f t="shared" si="0"/>
        <v> PZ 9.142 </v>
      </c>
      <c r="B22" s="16" t="str">
        <f t="shared" si="1"/>
        <v>I</v>
      </c>
      <c r="C22" s="11">
        <f t="shared" si="2"/>
        <v>32822.339999999997</v>
      </c>
      <c r="D22" s="14" t="str">
        <f t="shared" si="3"/>
        <v>vis</v>
      </c>
      <c r="E22" s="50">
        <f>VLOOKUP(C22,Active!C$21:E$973,3,FALSE)</f>
        <v>-318.00072349883084</v>
      </c>
      <c r="F22" s="16" t="s">
        <v>57</v>
      </c>
      <c r="G22" s="14" t="str">
        <f t="shared" si="4"/>
        <v>32822.34</v>
      </c>
      <c r="H22" s="11">
        <f t="shared" si="5"/>
        <v>-318</v>
      </c>
      <c r="I22" s="51" t="s">
        <v>83</v>
      </c>
      <c r="J22" s="52" t="s">
        <v>84</v>
      </c>
      <c r="K22" s="51">
        <v>-318</v>
      </c>
      <c r="L22" s="51" t="s">
        <v>85</v>
      </c>
      <c r="M22" s="52" t="s">
        <v>63</v>
      </c>
      <c r="N22" s="52"/>
      <c r="O22" s="53" t="s">
        <v>72</v>
      </c>
      <c r="P22" s="53" t="s">
        <v>73</v>
      </c>
    </row>
    <row r="23" spans="1:16" ht="12.75" customHeight="1" thickBot="1" x14ac:dyDescent="0.25">
      <c r="A23" s="11" t="str">
        <f t="shared" si="0"/>
        <v> RIA 8.230 </v>
      </c>
      <c r="B23" s="16" t="str">
        <f t="shared" si="1"/>
        <v>I</v>
      </c>
      <c r="C23" s="11">
        <f t="shared" si="2"/>
        <v>32888.464</v>
      </c>
      <c r="D23" s="14" t="str">
        <f t="shared" si="3"/>
        <v>vis</v>
      </c>
      <c r="E23" s="50">
        <f>VLOOKUP(C23,Active!C$21:E$973,3,FALSE)</f>
        <v>-298.00045732869143</v>
      </c>
      <c r="F23" s="16" t="s">
        <v>57</v>
      </c>
      <c r="G23" s="14" t="str">
        <f t="shared" si="4"/>
        <v>32888.464</v>
      </c>
      <c r="H23" s="11">
        <f t="shared" si="5"/>
        <v>-298</v>
      </c>
      <c r="I23" s="51" t="s">
        <v>86</v>
      </c>
      <c r="J23" s="52" t="s">
        <v>87</v>
      </c>
      <c r="K23" s="51">
        <v>-298</v>
      </c>
      <c r="L23" s="51" t="s">
        <v>88</v>
      </c>
      <c r="M23" s="52" t="s">
        <v>59</v>
      </c>
      <c r="N23" s="52"/>
      <c r="O23" s="53" t="s">
        <v>89</v>
      </c>
      <c r="P23" s="53" t="s">
        <v>90</v>
      </c>
    </row>
    <row r="24" spans="1:16" ht="12.75" customHeight="1" thickBot="1" x14ac:dyDescent="0.25">
      <c r="A24" s="11" t="str">
        <f t="shared" si="0"/>
        <v> PZ 9.142 </v>
      </c>
      <c r="B24" s="16" t="str">
        <f t="shared" si="1"/>
        <v>I</v>
      </c>
      <c r="C24" s="11">
        <f t="shared" si="2"/>
        <v>33209.18</v>
      </c>
      <c r="D24" s="14" t="str">
        <f t="shared" si="3"/>
        <v>vis</v>
      </c>
      <c r="E24" s="50">
        <f>VLOOKUP(C24,Active!C$21:E$973,3,FALSE)</f>
        <v>-200.99475039895177</v>
      </c>
      <c r="F24" s="16" t="s">
        <v>57</v>
      </c>
      <c r="G24" s="14" t="str">
        <f t="shared" si="4"/>
        <v>33209.18</v>
      </c>
      <c r="H24" s="11">
        <f t="shared" si="5"/>
        <v>-201</v>
      </c>
      <c r="I24" s="51" t="s">
        <v>91</v>
      </c>
      <c r="J24" s="52" t="s">
        <v>92</v>
      </c>
      <c r="K24" s="51">
        <v>-201</v>
      </c>
      <c r="L24" s="51" t="s">
        <v>71</v>
      </c>
      <c r="M24" s="52" t="s">
        <v>63</v>
      </c>
      <c r="N24" s="52"/>
      <c r="O24" s="53" t="s">
        <v>72</v>
      </c>
      <c r="P24" s="53" t="s">
        <v>73</v>
      </c>
    </row>
    <row r="25" spans="1:16" ht="12.75" customHeight="1" thickBot="1" x14ac:dyDescent="0.25">
      <c r="A25" s="11" t="str">
        <f t="shared" si="0"/>
        <v> RIA 8.230 </v>
      </c>
      <c r="B25" s="16" t="str">
        <f t="shared" si="1"/>
        <v>I</v>
      </c>
      <c r="C25" s="11">
        <f t="shared" si="2"/>
        <v>33232.294999999998</v>
      </c>
      <c r="D25" s="14" t="str">
        <f t="shared" si="3"/>
        <v>vis</v>
      </c>
      <c r="E25" s="50">
        <f>VLOOKUP(C25,Active!C$21:E$973,3,FALSE)</f>
        <v>-194.00324727568778</v>
      </c>
      <c r="F25" s="16" t="s">
        <v>57</v>
      </c>
      <c r="G25" s="14" t="str">
        <f t="shared" si="4"/>
        <v>33232.295</v>
      </c>
      <c r="H25" s="11">
        <f t="shared" si="5"/>
        <v>-194</v>
      </c>
      <c r="I25" s="51" t="s">
        <v>93</v>
      </c>
      <c r="J25" s="52" t="s">
        <v>94</v>
      </c>
      <c r="K25" s="51">
        <v>-194</v>
      </c>
      <c r="L25" s="51" t="s">
        <v>95</v>
      </c>
      <c r="M25" s="52" t="s">
        <v>59</v>
      </c>
      <c r="N25" s="52"/>
      <c r="O25" s="53" t="s">
        <v>89</v>
      </c>
      <c r="P25" s="53" t="s">
        <v>90</v>
      </c>
    </row>
    <row r="26" spans="1:16" ht="12.75" customHeight="1" thickBot="1" x14ac:dyDescent="0.25">
      <c r="A26" s="11" t="str">
        <f t="shared" si="0"/>
        <v> PZ 9.142 </v>
      </c>
      <c r="B26" s="16" t="str">
        <f t="shared" si="1"/>
        <v>I</v>
      </c>
      <c r="C26" s="11">
        <f t="shared" si="2"/>
        <v>33513.33</v>
      </c>
      <c r="D26" s="14" t="str">
        <f t="shared" si="3"/>
        <v>vis</v>
      </c>
      <c r="E26" s="50">
        <f>VLOOKUP(C26,Active!C$21:E$973,3,FALSE)</f>
        <v>-108.999696324068</v>
      </c>
      <c r="F26" s="16" t="s">
        <v>57</v>
      </c>
      <c r="G26" s="14" t="str">
        <f t="shared" si="4"/>
        <v>33513.33</v>
      </c>
      <c r="H26" s="11">
        <f t="shared" si="5"/>
        <v>-109</v>
      </c>
      <c r="I26" s="51" t="s">
        <v>96</v>
      </c>
      <c r="J26" s="52" t="s">
        <v>97</v>
      </c>
      <c r="K26" s="51">
        <v>-109</v>
      </c>
      <c r="L26" s="51" t="s">
        <v>85</v>
      </c>
      <c r="M26" s="52" t="s">
        <v>63</v>
      </c>
      <c r="N26" s="52"/>
      <c r="O26" s="53" t="s">
        <v>72</v>
      </c>
      <c r="P26" s="53" t="s">
        <v>73</v>
      </c>
    </row>
    <row r="27" spans="1:16" ht="12.75" customHeight="1" thickBot="1" x14ac:dyDescent="0.25">
      <c r="A27" s="11" t="str">
        <f t="shared" si="0"/>
        <v> RIA 8.230 </v>
      </c>
      <c r="B27" s="16" t="str">
        <f t="shared" si="1"/>
        <v>I</v>
      </c>
      <c r="C27" s="11">
        <f t="shared" si="2"/>
        <v>33652.19</v>
      </c>
      <c r="D27" s="14" t="str">
        <f t="shared" si="3"/>
        <v>vis</v>
      </c>
      <c r="E27" s="50">
        <f>VLOOKUP(C27,Active!C$21:E$973,3,FALSE)</f>
        <v>-66.999258353203771</v>
      </c>
      <c r="F27" s="16" t="s">
        <v>57</v>
      </c>
      <c r="G27" s="14" t="str">
        <f t="shared" si="4"/>
        <v>33652.190</v>
      </c>
      <c r="H27" s="11">
        <f t="shared" si="5"/>
        <v>-67</v>
      </c>
      <c r="I27" s="51" t="s">
        <v>98</v>
      </c>
      <c r="J27" s="52" t="s">
        <v>99</v>
      </c>
      <c r="K27" s="51">
        <v>-67</v>
      </c>
      <c r="L27" s="51" t="s">
        <v>100</v>
      </c>
      <c r="M27" s="52" t="s">
        <v>59</v>
      </c>
      <c r="N27" s="52"/>
      <c r="O27" s="53" t="s">
        <v>89</v>
      </c>
      <c r="P27" s="53" t="s">
        <v>90</v>
      </c>
    </row>
    <row r="28" spans="1:16" ht="12.75" customHeight="1" thickBot="1" x14ac:dyDescent="0.25">
      <c r="A28" s="11" t="str">
        <f t="shared" si="0"/>
        <v> MSAI 27.540 </v>
      </c>
      <c r="B28" s="16" t="str">
        <f t="shared" si="1"/>
        <v>I</v>
      </c>
      <c r="C28" s="11">
        <f t="shared" si="2"/>
        <v>34386.218000000001</v>
      </c>
      <c r="D28" s="14" t="str">
        <f t="shared" si="3"/>
        <v>vis</v>
      </c>
      <c r="E28" s="50">
        <f>VLOOKUP(C28,Active!C$21:E$973,3,FALSE)</f>
        <v>155.0193033843544</v>
      </c>
      <c r="F28" s="16" t="s">
        <v>57</v>
      </c>
      <c r="G28" s="14" t="str">
        <f t="shared" si="4"/>
        <v>34386.218</v>
      </c>
      <c r="H28" s="11">
        <f t="shared" si="5"/>
        <v>155</v>
      </c>
      <c r="I28" s="51" t="s">
        <v>101</v>
      </c>
      <c r="J28" s="52" t="s">
        <v>102</v>
      </c>
      <c r="K28" s="51">
        <v>155</v>
      </c>
      <c r="L28" s="51" t="s">
        <v>103</v>
      </c>
      <c r="M28" s="52" t="s">
        <v>63</v>
      </c>
      <c r="N28" s="52"/>
      <c r="O28" s="53" t="s">
        <v>104</v>
      </c>
      <c r="P28" s="53" t="s">
        <v>105</v>
      </c>
    </row>
    <row r="29" spans="1:16" ht="12.75" customHeight="1" thickBot="1" x14ac:dyDescent="0.25">
      <c r="A29" s="11" t="str">
        <f t="shared" si="0"/>
        <v> RIA 8.230 </v>
      </c>
      <c r="B29" s="16" t="str">
        <f t="shared" si="1"/>
        <v>I</v>
      </c>
      <c r="C29" s="11">
        <f t="shared" si="2"/>
        <v>34574.603000000003</v>
      </c>
      <c r="D29" s="14" t="str">
        <f t="shared" si="3"/>
        <v>vis</v>
      </c>
      <c r="E29" s="50">
        <f>VLOOKUP(C29,Active!C$21:E$973,3,FALSE)</f>
        <v>211.99937329031229</v>
      </c>
      <c r="F29" s="16" t="s">
        <v>57</v>
      </c>
      <c r="G29" s="14" t="str">
        <f t="shared" si="4"/>
        <v>34574.603</v>
      </c>
      <c r="H29" s="11">
        <f t="shared" si="5"/>
        <v>212</v>
      </c>
      <c r="I29" s="51" t="s">
        <v>106</v>
      </c>
      <c r="J29" s="52" t="s">
        <v>107</v>
      </c>
      <c r="K29" s="51">
        <v>212</v>
      </c>
      <c r="L29" s="51" t="s">
        <v>108</v>
      </c>
      <c r="M29" s="52" t="s">
        <v>59</v>
      </c>
      <c r="N29" s="52"/>
      <c r="O29" s="53" t="s">
        <v>89</v>
      </c>
      <c r="P29" s="53" t="s">
        <v>90</v>
      </c>
    </row>
    <row r="30" spans="1:16" ht="12.75" customHeight="1" thickBot="1" x14ac:dyDescent="0.25">
      <c r="A30" s="11" t="str">
        <f t="shared" si="0"/>
        <v> RIA 8.230 </v>
      </c>
      <c r="B30" s="16" t="str">
        <f t="shared" si="1"/>
        <v>I</v>
      </c>
      <c r="C30" s="11">
        <f t="shared" si="2"/>
        <v>34918.457999999999</v>
      </c>
      <c r="D30" s="14" t="str">
        <f t="shared" si="3"/>
        <v>vis</v>
      </c>
      <c r="E30" s="50">
        <f>VLOOKUP(C30,Active!C$21:E$973,3,FALSE)</f>
        <v>316.00384252890717</v>
      </c>
      <c r="F30" s="16" t="s">
        <v>57</v>
      </c>
      <c r="G30" s="14" t="str">
        <f t="shared" si="4"/>
        <v>34918.458</v>
      </c>
      <c r="H30" s="11">
        <f t="shared" si="5"/>
        <v>316</v>
      </c>
      <c r="I30" s="51" t="s">
        <v>109</v>
      </c>
      <c r="J30" s="52" t="s">
        <v>110</v>
      </c>
      <c r="K30" s="51">
        <v>316</v>
      </c>
      <c r="L30" s="51" t="s">
        <v>111</v>
      </c>
      <c r="M30" s="52" t="s">
        <v>59</v>
      </c>
      <c r="N30" s="52"/>
      <c r="O30" s="53" t="s">
        <v>89</v>
      </c>
      <c r="P30" s="53" t="s">
        <v>90</v>
      </c>
    </row>
    <row r="31" spans="1:16" ht="12.75" customHeight="1" thickBot="1" x14ac:dyDescent="0.25">
      <c r="A31" s="11" t="str">
        <f t="shared" si="0"/>
        <v> MSAI 37.261 </v>
      </c>
      <c r="B31" s="16" t="str">
        <f t="shared" si="1"/>
        <v>I</v>
      </c>
      <c r="C31" s="11">
        <f t="shared" si="2"/>
        <v>37606.355000000003</v>
      </c>
      <c r="D31" s="14" t="str">
        <f t="shared" si="3"/>
        <v>vis</v>
      </c>
      <c r="E31" s="50">
        <f>VLOOKUP(C31,Active!C$21:E$973,3,FALSE)</f>
        <v>1129.0014748245412</v>
      </c>
      <c r="F31" s="16" t="s">
        <v>57</v>
      </c>
      <c r="G31" s="14" t="str">
        <f t="shared" si="4"/>
        <v>37606.355</v>
      </c>
      <c r="H31" s="11">
        <f t="shared" si="5"/>
        <v>1129</v>
      </c>
      <c r="I31" s="51" t="s">
        <v>112</v>
      </c>
      <c r="J31" s="52" t="s">
        <v>113</v>
      </c>
      <c r="K31" s="51">
        <v>1129</v>
      </c>
      <c r="L31" s="51" t="s">
        <v>108</v>
      </c>
      <c r="M31" s="52" t="s">
        <v>63</v>
      </c>
      <c r="N31" s="52"/>
      <c r="O31" s="53" t="s">
        <v>104</v>
      </c>
      <c r="P31" s="53" t="s">
        <v>114</v>
      </c>
    </row>
    <row r="32" spans="1:16" ht="12.75" customHeight="1" thickBot="1" x14ac:dyDescent="0.25">
      <c r="A32" s="11" t="str">
        <f t="shared" si="0"/>
        <v> MSAI 37.261 </v>
      </c>
      <c r="B32" s="16" t="str">
        <f t="shared" si="1"/>
        <v>I</v>
      </c>
      <c r="C32" s="11">
        <f t="shared" si="2"/>
        <v>38664.305</v>
      </c>
      <c r="D32" s="14" t="str">
        <f t="shared" si="3"/>
        <v>vis</v>
      </c>
      <c r="E32" s="50">
        <f>VLOOKUP(C32,Active!C$21:E$973,3,FALSE)</f>
        <v>1448.995449700499</v>
      </c>
      <c r="F32" s="16" t="s">
        <v>57</v>
      </c>
      <c r="G32" s="14" t="str">
        <f t="shared" si="4"/>
        <v>38664.305</v>
      </c>
      <c r="H32" s="11">
        <f t="shared" si="5"/>
        <v>1449</v>
      </c>
      <c r="I32" s="51" t="s">
        <v>115</v>
      </c>
      <c r="J32" s="52" t="s">
        <v>116</v>
      </c>
      <c r="K32" s="51">
        <v>1449</v>
      </c>
      <c r="L32" s="51" t="s">
        <v>117</v>
      </c>
      <c r="M32" s="52" t="s">
        <v>63</v>
      </c>
      <c r="N32" s="52"/>
      <c r="O32" s="53" t="s">
        <v>104</v>
      </c>
      <c r="P32" s="53" t="s">
        <v>114</v>
      </c>
    </row>
    <row r="33" spans="1:16" ht="12.75" customHeight="1" thickBot="1" x14ac:dyDescent="0.25">
      <c r="A33" s="11" t="str">
        <f t="shared" si="0"/>
        <v> BRNO 28 </v>
      </c>
      <c r="B33" s="16" t="str">
        <f t="shared" si="1"/>
        <v>I</v>
      </c>
      <c r="C33" s="11">
        <f t="shared" si="2"/>
        <v>46645.466</v>
      </c>
      <c r="D33" s="14" t="str">
        <f t="shared" si="3"/>
        <v>vis</v>
      </c>
      <c r="E33" s="50">
        <f>VLOOKUP(C33,Active!C$21:E$973,3,FALSE)</f>
        <v>3863.0258221330159</v>
      </c>
      <c r="F33" s="16" t="s">
        <v>57</v>
      </c>
      <c r="G33" s="14" t="str">
        <f t="shared" si="4"/>
        <v>46645.466</v>
      </c>
      <c r="H33" s="11">
        <f t="shared" si="5"/>
        <v>3863</v>
      </c>
      <c r="I33" s="51" t="s">
        <v>118</v>
      </c>
      <c r="J33" s="52" t="s">
        <v>119</v>
      </c>
      <c r="K33" s="51">
        <v>3863</v>
      </c>
      <c r="L33" s="51" t="s">
        <v>120</v>
      </c>
      <c r="M33" s="52" t="s">
        <v>121</v>
      </c>
      <c r="N33" s="52"/>
      <c r="O33" s="53" t="s">
        <v>122</v>
      </c>
      <c r="P33" s="53" t="s">
        <v>123</v>
      </c>
    </row>
    <row r="34" spans="1:16" ht="12.75" customHeight="1" thickBot="1" x14ac:dyDescent="0.25">
      <c r="A34" s="11" t="str">
        <f t="shared" si="0"/>
        <v>IBVS 3926 </v>
      </c>
      <c r="B34" s="16" t="str">
        <f t="shared" si="1"/>
        <v>I</v>
      </c>
      <c r="C34" s="11">
        <f t="shared" si="2"/>
        <v>48953.078000000001</v>
      </c>
      <c r="D34" s="14" t="str">
        <f t="shared" si="3"/>
        <v>vis</v>
      </c>
      <c r="E34" s="50">
        <f>VLOOKUP(C34,Active!C$21:E$973,3,FALSE)</f>
        <v>4561.0001463935769</v>
      </c>
      <c r="F34" s="16" t="s">
        <v>57</v>
      </c>
      <c r="G34" s="14" t="str">
        <f t="shared" si="4"/>
        <v>48953.078</v>
      </c>
      <c r="H34" s="11">
        <f t="shared" si="5"/>
        <v>4561</v>
      </c>
      <c r="I34" s="51" t="s">
        <v>124</v>
      </c>
      <c r="J34" s="52" t="s">
        <v>125</v>
      </c>
      <c r="K34" s="51">
        <v>4561</v>
      </c>
      <c r="L34" s="51" t="s">
        <v>126</v>
      </c>
      <c r="M34" s="52" t="s">
        <v>127</v>
      </c>
      <c r="N34" s="52" t="s">
        <v>128</v>
      </c>
      <c r="O34" s="53" t="s">
        <v>129</v>
      </c>
      <c r="P34" s="54" t="s">
        <v>130</v>
      </c>
    </row>
    <row r="35" spans="1:16" ht="12.75" customHeight="1" thickBot="1" x14ac:dyDescent="0.25">
      <c r="A35" s="11" t="str">
        <f t="shared" si="0"/>
        <v> BBS 126 </v>
      </c>
      <c r="B35" s="16" t="str">
        <f t="shared" si="1"/>
        <v>I</v>
      </c>
      <c r="C35" s="11">
        <f t="shared" si="2"/>
        <v>52196.442000000003</v>
      </c>
      <c r="D35" s="14" t="str">
        <f t="shared" si="3"/>
        <v>vis</v>
      </c>
      <c r="E35" s="50">
        <f>VLOOKUP(C35,Active!C$21:E$973,3,FALSE)</f>
        <v>5542.0076971564577</v>
      </c>
      <c r="F35" s="16" t="s">
        <v>57</v>
      </c>
      <c r="G35" s="14" t="str">
        <f t="shared" si="4"/>
        <v>52196.442</v>
      </c>
      <c r="H35" s="11">
        <f t="shared" si="5"/>
        <v>5542</v>
      </c>
      <c r="I35" s="51" t="s">
        <v>143</v>
      </c>
      <c r="J35" s="52" t="s">
        <v>144</v>
      </c>
      <c r="K35" s="51">
        <v>5542</v>
      </c>
      <c r="L35" s="51" t="s">
        <v>145</v>
      </c>
      <c r="M35" s="52" t="s">
        <v>127</v>
      </c>
      <c r="N35" s="52" t="s">
        <v>128</v>
      </c>
      <c r="O35" s="53" t="s">
        <v>146</v>
      </c>
      <c r="P35" s="53" t="s">
        <v>147</v>
      </c>
    </row>
    <row r="36" spans="1:16" ht="12.75" customHeight="1" thickBot="1" x14ac:dyDescent="0.25">
      <c r="A36" s="11" t="str">
        <f t="shared" si="0"/>
        <v>BAVM 203 </v>
      </c>
      <c r="B36" s="16" t="str">
        <f t="shared" si="1"/>
        <v>I</v>
      </c>
      <c r="C36" s="11">
        <f t="shared" si="2"/>
        <v>54798.3753</v>
      </c>
      <c r="D36" s="14" t="str">
        <f t="shared" si="3"/>
        <v>vis</v>
      </c>
      <c r="E36" s="50">
        <f>VLOOKUP(C36,Active!C$21:E$973,3,FALSE)</f>
        <v>6329.0042272657438</v>
      </c>
      <c r="F36" s="16" t="s">
        <v>57</v>
      </c>
      <c r="G36" s="14" t="str">
        <f t="shared" si="4"/>
        <v>54798.3753</v>
      </c>
      <c r="H36" s="11">
        <f t="shared" si="5"/>
        <v>6329</v>
      </c>
      <c r="I36" s="51" t="s">
        <v>154</v>
      </c>
      <c r="J36" s="52" t="s">
        <v>155</v>
      </c>
      <c r="K36" s="51" t="s">
        <v>156</v>
      </c>
      <c r="L36" s="51" t="s">
        <v>157</v>
      </c>
      <c r="M36" s="52" t="s">
        <v>139</v>
      </c>
      <c r="N36" s="52" t="s">
        <v>151</v>
      </c>
      <c r="O36" s="53" t="s">
        <v>158</v>
      </c>
      <c r="P36" s="54" t="s">
        <v>159</v>
      </c>
    </row>
    <row r="37" spans="1:16" x14ac:dyDescent="0.2">
      <c r="B37" s="16"/>
      <c r="E37" s="50"/>
      <c r="F37" s="16"/>
    </row>
    <row r="38" spans="1:16" x14ac:dyDescent="0.2">
      <c r="B38" s="16"/>
      <c r="E38" s="50"/>
      <c r="F38" s="16"/>
    </row>
    <row r="39" spans="1:16" x14ac:dyDescent="0.2">
      <c r="B39" s="16"/>
      <c r="E39" s="50"/>
      <c r="F39" s="16"/>
    </row>
    <row r="40" spans="1:16" x14ac:dyDescent="0.2">
      <c r="B40" s="16"/>
      <c r="E40" s="50"/>
      <c r="F40" s="16"/>
    </row>
    <row r="41" spans="1:16" x14ac:dyDescent="0.2">
      <c r="B41" s="16"/>
      <c r="E41" s="50"/>
      <c r="F41" s="16"/>
    </row>
    <row r="42" spans="1:16" x14ac:dyDescent="0.2">
      <c r="B42" s="16"/>
      <c r="E42" s="50"/>
      <c r="F42" s="16"/>
    </row>
    <row r="43" spans="1:16" x14ac:dyDescent="0.2">
      <c r="B43" s="16"/>
      <c r="E43" s="50"/>
      <c r="F43" s="16"/>
    </row>
    <row r="44" spans="1:16" x14ac:dyDescent="0.2">
      <c r="B44" s="16"/>
      <c r="E44" s="50"/>
      <c r="F44" s="16"/>
    </row>
    <row r="45" spans="1:16" x14ac:dyDescent="0.2">
      <c r="B45" s="16"/>
      <c r="E45" s="50"/>
      <c r="F45" s="16"/>
    </row>
    <row r="46" spans="1:16" x14ac:dyDescent="0.2">
      <c r="B46" s="16"/>
      <c r="E46" s="50"/>
      <c r="F46" s="16"/>
    </row>
    <row r="47" spans="1:16" x14ac:dyDescent="0.2">
      <c r="B47" s="16"/>
      <c r="E47" s="50"/>
      <c r="F47" s="16"/>
    </row>
    <row r="48" spans="1:16" x14ac:dyDescent="0.2">
      <c r="B48" s="16"/>
      <c r="E48" s="50"/>
      <c r="F48" s="16"/>
    </row>
    <row r="49" spans="2:6" x14ac:dyDescent="0.2">
      <c r="B49" s="16"/>
      <c r="E49" s="50"/>
      <c r="F49" s="16"/>
    </row>
    <row r="50" spans="2:6" x14ac:dyDescent="0.2">
      <c r="B50" s="16"/>
      <c r="E50" s="50"/>
      <c r="F50" s="16"/>
    </row>
    <row r="51" spans="2:6" x14ac:dyDescent="0.2">
      <c r="B51" s="16"/>
      <c r="E51" s="50"/>
      <c r="F51" s="16"/>
    </row>
    <row r="52" spans="2:6" x14ac:dyDescent="0.2">
      <c r="B52" s="16"/>
      <c r="E52" s="50"/>
      <c r="F52" s="16"/>
    </row>
    <row r="53" spans="2:6" x14ac:dyDescent="0.2">
      <c r="B53" s="16"/>
      <c r="E53" s="50"/>
      <c r="F53" s="16"/>
    </row>
    <row r="54" spans="2:6" x14ac:dyDescent="0.2">
      <c r="B54" s="16"/>
      <c r="E54" s="50"/>
      <c r="F54" s="16"/>
    </row>
    <row r="55" spans="2:6" x14ac:dyDescent="0.2">
      <c r="B55" s="16"/>
      <c r="E55" s="50"/>
      <c r="F55" s="16"/>
    </row>
    <row r="56" spans="2:6" x14ac:dyDescent="0.2">
      <c r="B56" s="16"/>
      <c r="E56" s="50"/>
      <c r="F56" s="16"/>
    </row>
    <row r="57" spans="2:6" x14ac:dyDescent="0.2">
      <c r="B57" s="16"/>
      <c r="E57" s="50"/>
      <c r="F57" s="16"/>
    </row>
    <row r="58" spans="2:6" x14ac:dyDescent="0.2">
      <c r="B58" s="16"/>
      <c r="E58" s="50"/>
      <c r="F58" s="16"/>
    </row>
    <row r="59" spans="2:6" x14ac:dyDescent="0.2">
      <c r="B59" s="16"/>
      <c r="E59" s="50"/>
      <c r="F59" s="16"/>
    </row>
    <row r="60" spans="2:6" x14ac:dyDescent="0.2">
      <c r="B60" s="16"/>
      <c r="E60" s="50"/>
      <c r="F60" s="16"/>
    </row>
    <row r="61" spans="2:6" x14ac:dyDescent="0.2">
      <c r="B61" s="16"/>
      <c r="E61" s="50"/>
      <c r="F61" s="16"/>
    </row>
    <row r="62" spans="2:6" x14ac:dyDescent="0.2">
      <c r="B62" s="16"/>
      <c r="E62" s="50"/>
      <c r="F62" s="16"/>
    </row>
    <row r="63" spans="2:6" x14ac:dyDescent="0.2">
      <c r="B63" s="16"/>
      <c r="E63" s="50"/>
      <c r="F63" s="16"/>
    </row>
    <row r="64" spans="2:6" x14ac:dyDescent="0.2">
      <c r="B64" s="16"/>
      <c r="E64" s="50"/>
      <c r="F64" s="16"/>
    </row>
    <row r="65" spans="2:6" x14ac:dyDescent="0.2">
      <c r="B65" s="16"/>
      <c r="E65" s="50"/>
      <c r="F65" s="16"/>
    </row>
    <row r="66" spans="2:6" x14ac:dyDescent="0.2">
      <c r="B66" s="16"/>
      <c r="E66" s="50"/>
      <c r="F66" s="16"/>
    </row>
    <row r="67" spans="2:6" x14ac:dyDescent="0.2">
      <c r="B67" s="16"/>
      <c r="E67" s="50"/>
      <c r="F67" s="16"/>
    </row>
    <row r="68" spans="2:6" x14ac:dyDescent="0.2">
      <c r="B68" s="16"/>
      <c r="E68" s="50"/>
      <c r="F68" s="16"/>
    </row>
    <row r="69" spans="2:6" x14ac:dyDescent="0.2">
      <c r="B69" s="16"/>
      <c r="E69" s="50"/>
      <c r="F69" s="16"/>
    </row>
    <row r="70" spans="2:6" x14ac:dyDescent="0.2">
      <c r="B70" s="16"/>
      <c r="E70" s="50"/>
      <c r="F70" s="16"/>
    </row>
    <row r="71" spans="2:6" x14ac:dyDescent="0.2">
      <c r="B71" s="16"/>
      <c r="E71" s="50"/>
      <c r="F71" s="16"/>
    </row>
    <row r="72" spans="2:6" x14ac:dyDescent="0.2">
      <c r="B72" s="16"/>
      <c r="E72" s="50"/>
      <c r="F72" s="16"/>
    </row>
    <row r="73" spans="2:6" x14ac:dyDescent="0.2">
      <c r="B73" s="16"/>
      <c r="E73" s="50"/>
      <c r="F73" s="16"/>
    </row>
    <row r="74" spans="2:6" x14ac:dyDescent="0.2">
      <c r="B74" s="16"/>
      <c r="E74" s="50"/>
      <c r="F74" s="16"/>
    </row>
    <row r="75" spans="2:6" x14ac:dyDescent="0.2">
      <c r="B75" s="16"/>
      <c r="E75" s="50"/>
      <c r="F75" s="16"/>
    </row>
    <row r="76" spans="2:6" x14ac:dyDescent="0.2">
      <c r="B76" s="16"/>
      <c r="E76" s="50"/>
      <c r="F76" s="16"/>
    </row>
    <row r="77" spans="2:6" x14ac:dyDescent="0.2">
      <c r="B77" s="16"/>
      <c r="E77" s="50"/>
      <c r="F77" s="16"/>
    </row>
    <row r="78" spans="2:6" x14ac:dyDescent="0.2">
      <c r="B78" s="16"/>
      <c r="E78" s="50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</sheetData>
  <phoneticPr fontId="7" type="noConversion"/>
  <hyperlinks>
    <hyperlink ref="P34" r:id="rId1" display="http://www.konkoly.hu/cgi-bin/IBVS?3926"/>
    <hyperlink ref="P12" r:id="rId2" display="http://var.astro.cz/oejv/issues/oejv0074.pdf"/>
    <hyperlink ref="P13" r:id="rId3" display="http://www.bav-astro.de/sfs/BAVM_link.php?BAVMnr=183"/>
    <hyperlink ref="P36" r:id="rId4" display="http://www.bav-astro.de/sfs/BAVM_link.php?BAVMnr=203"/>
    <hyperlink ref="P14" r:id="rId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2024-01-23T02:48:37Z</dcterms:modified>
</cp:coreProperties>
</file>