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B10F40-196B-4403-BB19-CB7EAAC7D0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6" i="1"/>
  <c r="D9" i="1"/>
  <c r="C9" i="1"/>
  <c r="Q22" i="1"/>
  <c r="C21" i="1"/>
  <c r="R22" i="1"/>
  <c r="A21" i="1"/>
  <c r="C7" i="1"/>
  <c r="E23" i="1"/>
  <c r="F23" i="1"/>
  <c r="C8" i="1"/>
  <c r="E21" i="1"/>
  <c r="F21" i="1"/>
  <c r="G21" i="1"/>
  <c r="I21" i="1"/>
  <c r="C17" i="1"/>
  <c r="Q21" i="1"/>
  <c r="E22" i="1"/>
  <c r="F22" i="1"/>
  <c r="G23" i="1"/>
  <c r="I23" i="1"/>
  <c r="G22" i="1"/>
  <c r="I22" i="1"/>
  <c r="C12" i="1"/>
  <c r="C11" i="1"/>
  <c r="O21" i="1" l="1"/>
  <c r="O22" i="1"/>
  <c r="O23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<sst xmlns="http://schemas.openxmlformats.org/spreadsheetml/2006/main" count="54" uniqueCount="49">
  <si>
    <t>OEJV 0191</t>
  </si>
  <si>
    <t>I</t>
  </si>
  <si>
    <t>OEJV 0181</t>
  </si>
  <si>
    <t>Add cycle</t>
  </si>
  <si>
    <t>Old Cycle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</si>
  <si>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</si>
  <si>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</si>
  <si>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</si>
  <si>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</si>
  <si>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</si>
  <si>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</si>
  <si>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</si>
  <si>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</si>
  <si>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</si>
  <si>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</si>
  <si>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</si>
  <si>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</si>
  <si>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</si>
  <si>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</si>
  <si>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</si>
  <si>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</si>
  <si>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</si>
  <si>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</si>
  <si>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</si>
  <si>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</si>
  <si>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</si>
  <si>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</si>
  <si>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</si>
  <si>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</si>
  <si>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</si>
  <si>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</si>
  <si>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</si>
  <si>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</si>
  <si>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</si>
  <si>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</si>
  <si>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</si>
  <si>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</si>
  <si>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</si>
  <si>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</si>
  <si>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</si>
  <si>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</si>
  <si>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</si>
  <si>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V0454 Cep / GSC 4282-0941 </t>
  </si>
  <si>
    <t>Cep_V0454.xls</t>
  </si>
  <si>
    <t>EA</t>
  </si>
  <si>
    <t>IBVS 5557 Eph.</t>
  </si>
  <si>
    <t>IBVS 5557</t>
  </si>
  <si>
    <t>Cep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</si>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</sst>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42" applyFont="1" applyAlignment="1">
      <alignment horizontal="left"/>
    </xf>
    <xf numFmtId="0" fontId="30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V0454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0-49C8-BCE5-8393AB2FD4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-4.5250000002852175E-2</c:v>
                </c:pt>
                <c:pt idx="2">
                  <c:v>-3.8500000002386514E-2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0-49C8-BCE5-8393AB2FD4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C0-49C8-BCE5-8393AB2FD4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C0-49C8-BCE5-8393AB2FD4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C0-49C8-BCE5-8393AB2FD4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C0-49C8-BCE5-8393AB2FD4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C0-49C8-BCE5-8393AB2FD4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1606.5</c:v>
                </c:pt>
                <c:pt idx="2">
                  <c:v>1751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-4.4317109861969142E-4</c:v>
                </c:pt>
                <c:pt idx="1">
                  <c:v>-3.9879809043107659E-2</c:v>
                </c:pt>
                <c:pt idx="2">
                  <c:v>-4.3427019863511343E-2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C0-49C8-BCE5-8393AB2F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60952"/>
        <c:axId val="1"/>
      </c:scatterChart>
      <c:valAx>
        <c:axId val="91486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6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9FC100-917C-39A8-6E5F-67EB68756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29" t="s">
        <v>43</v>
      </c>
      <c r="G1" s="30" t="s">
        <v>44</v>
      </c>
      <c r="H1" s="31" t="s">
        <v>45</v>
      </c>
      <c r="I1" s="30">
        <v>48313.1</v>
      </c>
      <c r="J1" s="30">
        <v>5.5845000000000002</v>
      </c>
      <c r="K1" s="30" t="s">
        <v>46</v>
      </c>
      <c r="L1" s="30" t="s">
        <v>47</v>
      </c>
    </row>
    <row r="2" spans="1:12" x14ac:dyDescent="0.2">
      <c r="A2" t="s">
        <v>31</v>
      </c>
      <c r="B2" t="s">
        <v>44</v>
      </c>
      <c r="D2" s="9" t="s">
        <v>47</v>
      </c>
      <c r="E2" t="s">
        <v>43</v>
      </c>
    </row>
    <row r="3" spans="1:12" ht="13.5" thickBot="1" x14ac:dyDescent="0.25"/>
    <row r="4" spans="1:12" ht="14.25" thickTop="1" thickBot="1" x14ac:dyDescent="0.25">
      <c r="A4" s="28" t="s">
        <v>45</v>
      </c>
      <c r="C4" s="7">
        <v>48313.1</v>
      </c>
      <c r="D4" s="8">
        <v>5.5845000000000002</v>
      </c>
    </row>
    <row r="5" spans="1:12" ht="13.5" thickTop="1" x14ac:dyDescent="0.2">
      <c r="A5" s="10" t="s">
        <v>36</v>
      </c>
      <c r="B5" s="11"/>
      <c r="C5" s="12">
        <v>-9.5</v>
      </c>
      <c r="D5" s="11" t="s">
        <v>37</v>
      </c>
    </row>
    <row r="6" spans="1:12" x14ac:dyDescent="0.2">
      <c r="A6" s="4" t="s">
        <v>9</v>
      </c>
    </row>
    <row r="7" spans="1:12" x14ac:dyDescent="0.2">
      <c r="A7" t="s">
        <v>10</v>
      </c>
      <c r="C7">
        <f>+C4</f>
        <v>48313.1</v>
      </c>
    </row>
    <row r="8" spans="1:12" x14ac:dyDescent="0.2">
      <c r="A8" t="s">
        <v>11</v>
      </c>
      <c r="C8">
        <f>+D4</f>
        <v>5.5845000000000002</v>
      </c>
    </row>
    <row r="9" spans="1:12" x14ac:dyDescent="0.2">
      <c r="A9" s="26" t="s">
        <v>41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27</v>
      </c>
      <c r="D10" s="3" t="s">
        <v>28</v>
      </c>
      <c r="E10" s="11"/>
    </row>
    <row r="11" spans="1:12" x14ac:dyDescent="0.2">
      <c r="A11" s="11" t="s">
        <v>23</v>
      </c>
      <c r="B11" s="11"/>
      <c r="C11" s="23">
        <f ca="1">INTERCEPT(INDIRECT($D$9):G992,INDIRECT($C$9):F992)</f>
        <v>-4.4317109861969142E-4</v>
      </c>
      <c r="D11" s="13"/>
      <c r="E11" s="11"/>
    </row>
    <row r="12" spans="1:12" x14ac:dyDescent="0.2">
      <c r="A12" s="11" t="s">
        <v>24</v>
      </c>
      <c r="B12" s="11"/>
      <c r="C12" s="23">
        <f ca="1">SLOPE(INDIRECT($D$9):G992,INDIRECT($C$9):F992)</f>
        <v>-2.4548171767499512E-5</v>
      </c>
      <c r="D12" s="13"/>
      <c r="E12" s="11"/>
    </row>
    <row r="13" spans="1:12" x14ac:dyDescent="0.2">
      <c r="A13" s="11" t="s">
        <v>26</v>
      </c>
      <c r="B13" s="11"/>
      <c r="C13" s="13" t="s">
        <v>21</v>
      </c>
    </row>
    <row r="14" spans="1:12" x14ac:dyDescent="0.2">
      <c r="A14" s="11"/>
      <c r="B14" s="11"/>
      <c r="C14" s="11"/>
    </row>
    <row r="15" spans="1:12" x14ac:dyDescent="0.2">
      <c r="A15" s="14" t="s">
        <v>25</v>
      </c>
      <c r="B15" s="11"/>
      <c r="C15" s="15">
        <f ca="1">(C7+C11)+(C8+C12)*INT(MAX(F21:F3533))</f>
        <v>58091.516072980136</v>
      </c>
      <c r="E15" s="16" t="s">
        <v>3</v>
      </c>
      <c r="F15" s="35">
        <v>1</v>
      </c>
    </row>
    <row r="16" spans="1:12" x14ac:dyDescent="0.2">
      <c r="A16" s="18" t="s">
        <v>12</v>
      </c>
      <c r="B16" s="11"/>
      <c r="C16" s="19">
        <f ca="1">+C8+C12</f>
        <v>5.5844754518282329</v>
      </c>
      <c r="E16" s="16" t="s">
        <v>38</v>
      </c>
      <c r="F16" s="36">
        <f ca="1">NOW()+15018.5+$C$5/24</f>
        <v>60332.728022453703</v>
      </c>
    </row>
    <row r="17" spans="1:18" ht="13.5" thickBot="1" x14ac:dyDescent="0.25">
      <c r="A17" s="16" t="s">
        <v>35</v>
      </c>
      <c r="B17" s="11"/>
      <c r="C17" s="11">
        <f>COUNT(C21:C2191)</f>
        <v>3</v>
      </c>
      <c r="E17" s="16" t="s">
        <v>4</v>
      </c>
      <c r="F17" s="17">
        <f ca="1">ROUND(2*(F16-$C$7)/$C$8,0)/2+F15</f>
        <v>2153.5</v>
      </c>
    </row>
    <row r="18" spans="1:18" ht="14.25" thickTop="1" thickBot="1" x14ac:dyDescent="0.25">
      <c r="A18" s="18" t="s">
        <v>13</v>
      </c>
      <c r="B18" s="11"/>
      <c r="C18" s="21">
        <f ca="1">+C15</f>
        <v>58091.516072980136</v>
      </c>
      <c r="D18" s="22">
        <f ca="1">+C16</f>
        <v>5.5844754518282329</v>
      </c>
      <c r="E18" s="16" t="s">
        <v>39</v>
      </c>
      <c r="F18" s="25">
        <f ca="1">ROUND(2*(F16-$C$15)/$C$16,0)/2+F15</f>
        <v>402.5</v>
      </c>
    </row>
    <row r="19" spans="1:18" ht="13.5" thickTop="1" x14ac:dyDescent="0.2">
      <c r="E19" s="16" t="s">
        <v>40</v>
      </c>
      <c r="F19" s="20">
        <f ca="1">+$C$15+$C$16*F18-15018.5-$C$5/24</f>
        <v>45321.163275674335</v>
      </c>
    </row>
    <row r="20" spans="1:18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8</v>
      </c>
      <c r="I20" s="6" t="s">
        <v>48</v>
      </c>
      <c r="J20" s="6" t="s">
        <v>5</v>
      </c>
      <c r="K20" s="6" t="s">
        <v>7</v>
      </c>
      <c r="L20" s="6" t="s">
        <v>32</v>
      </c>
      <c r="M20" s="6" t="s">
        <v>33</v>
      </c>
      <c r="N20" s="6" t="s">
        <v>34</v>
      </c>
      <c r="O20" s="6" t="s">
        <v>30</v>
      </c>
      <c r="P20" s="5" t="s">
        <v>29</v>
      </c>
      <c r="Q20" s="3" t="s">
        <v>22</v>
      </c>
    </row>
    <row r="21" spans="1:18" x14ac:dyDescent="0.2">
      <c r="A21" t="str">
        <f>$K$1</f>
        <v>IBVS 5557</v>
      </c>
      <c r="C21" s="9">
        <f>+$C$4</f>
        <v>48313.1</v>
      </c>
      <c r="D21" s="9" t="s">
        <v>21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-4.4317109861969142E-4</v>
      </c>
      <c r="Q21" s="2">
        <f>+C21-15018.5</f>
        <v>33294.6</v>
      </c>
    </row>
    <row r="22" spans="1:18" x14ac:dyDescent="0.2">
      <c r="A22" s="32" t="s">
        <v>2</v>
      </c>
      <c r="B22" s="33" t="s">
        <v>6</v>
      </c>
      <c r="C22" s="34">
        <v>57284.553999999996</v>
      </c>
      <c r="D22" s="34">
        <v>0.03</v>
      </c>
      <c r="E22">
        <f>+(C22-C$7)/C$8</f>
        <v>1606.4918972155067</v>
      </c>
      <c r="F22">
        <f>ROUND(2*E22,0)/2</f>
        <v>1606.5</v>
      </c>
      <c r="G22">
        <f>+C22-(C$7+F22*C$8)</f>
        <v>-4.5250000002852175E-2</v>
      </c>
      <c r="I22">
        <f>+G22</f>
        <v>-4.5250000002852175E-2</v>
      </c>
      <c r="O22">
        <f ca="1">+C$11+C$12*$F22</f>
        <v>-3.9879809043107659E-2</v>
      </c>
      <c r="Q22" s="2">
        <f>+C22-15018.5</f>
        <v>42266.053999999996</v>
      </c>
      <c r="R22" t="str">
        <f>IF(ABS(C22-C21)&lt;0.00001,1,"")</f>
        <v/>
      </c>
    </row>
    <row r="23" spans="1:18" x14ac:dyDescent="0.2">
      <c r="A23" s="37" t="s">
        <v>0</v>
      </c>
      <c r="B23" s="37" t="s">
        <v>1</v>
      </c>
      <c r="C23" s="38">
        <v>58091.521000000001</v>
      </c>
      <c r="D23" s="38">
        <v>0.02</v>
      </c>
      <c r="E23">
        <f>+(C23-C$7)/C$8</f>
        <v>1750.9931059181667</v>
      </c>
      <c r="F23">
        <f>ROUND(2*E23,0)/2</f>
        <v>1751</v>
      </c>
      <c r="G23">
        <f>+C23-(C$7+F23*C$8)</f>
        <v>-3.8500000002386514E-2</v>
      </c>
      <c r="I23">
        <f>+G23</f>
        <v>-3.8500000002386514E-2</v>
      </c>
      <c r="O23">
        <f ca="1">+C$11+C$12*$F23</f>
        <v>-4.3427019863511343E-2</v>
      </c>
      <c r="Q23" s="2">
        <f>+C23-15018.5</f>
        <v>43073.021000000001</v>
      </c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1919" r:id="rId1" display="http://vsolj.cetus-net.org/bulletin.html"/>
    <hyperlink ref="H64907" r:id="rId2" display="http://vsolj.cetus-net.org/bulletin.html"/>
    <hyperlink ref="H64900" r:id="rId3" display="https://www.aavso.org/ejaavso"/>
    <hyperlink ref="AP1051" r:id="rId4" display="http://cdsbib.u-strasbg.fr/cgi-bin/cdsbib?1990RMxAA..21..381G"/>
    <hyperlink ref="AP1055" r:id="rId5" display="http://cdsbib.u-strasbg.fr/cgi-bin/cdsbib?1990RMxAA..21..381G"/>
    <hyperlink ref="AP1054" r:id="rId6" display="http://cdsbib.u-strasbg.fr/cgi-bin/cdsbib?1990RMxAA..21..381G"/>
    <hyperlink ref="AP1035" r:id="rId7" display="http://cdsbib.u-strasbg.fr/cgi-bin/cdsbib?1990RMxAA..21..381G"/>
    <hyperlink ref="I64907" r:id="rId8" display="http://vsolj.cetus-net.org/bulletin.html"/>
    <hyperlink ref="AQ1191" r:id="rId9" display="http://cdsbib.u-strasbg.fr/cgi-bin/cdsbib?1990RMxAA..21..381G"/>
    <hyperlink ref="AQ55957" r:id="rId10" display="http://cdsbib.u-strasbg.fr/cgi-bin/cdsbib?1990RMxAA..21..381G"/>
    <hyperlink ref="AQ1192" r:id="rId11" display="http://cdsbib.u-strasbg.fr/cgi-bin/cdsbib?1990RMxAA..21..381G"/>
    <hyperlink ref="H64904" r:id="rId12" display="https://www.aavso.org/ejaavso"/>
    <hyperlink ref="H2077" r:id="rId13" display="http://vsolj.cetus-net.org/bulletin.html"/>
    <hyperlink ref="AP3321" r:id="rId14" display="http://cdsbib.u-strasbg.fr/cgi-bin/cdsbib?1990RMxAA..21..381G"/>
    <hyperlink ref="AP3324" r:id="rId15" display="http://cdsbib.u-strasbg.fr/cgi-bin/cdsbib?1990RMxAA..21..381G"/>
    <hyperlink ref="AP3322" r:id="rId16" display="http://cdsbib.u-strasbg.fr/cgi-bin/cdsbib?1990RMxAA..21..381G"/>
    <hyperlink ref="AP3306" r:id="rId17" display="http://cdsbib.u-strasbg.fr/cgi-bin/cdsbib?1990RMxAA..21..381G"/>
    <hyperlink ref="I2077" r:id="rId18" display="http://vsolj.cetus-net.org/bulletin.html"/>
    <hyperlink ref="AQ3535" r:id="rId19" display="http://cdsbib.u-strasbg.fr/cgi-bin/cdsbib?1990RMxAA..21..381G"/>
    <hyperlink ref="AQ236" r:id="rId20" display="http://cdsbib.u-strasbg.fr/cgi-bin/cdsbib?1990RMxAA..21..381G"/>
    <hyperlink ref="AQ3539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2024-01-23T04:28:21Z</dcterms:modified>
</cp:coreProperties>
</file>