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B113FF8-7C58-4099-95B1-A8BCE7C7CA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4" i="1"/>
  <c r="F24" i="1" s="1"/>
  <c r="G24" i="1" s="1"/>
  <c r="K24" i="1" s="1"/>
  <c r="Q24" i="1"/>
  <c r="Q23" i="1"/>
  <c r="C9" i="1"/>
  <c r="D9" i="1"/>
  <c r="Q22" i="1"/>
  <c r="C7" i="1"/>
  <c r="E23" i="1"/>
  <c r="F23" i="1"/>
  <c r="C8" i="1"/>
  <c r="E21" i="1"/>
  <c r="F21" i="1"/>
  <c r="G21" i="1"/>
  <c r="I21" i="1"/>
  <c r="C17" i="1"/>
  <c r="Q21" i="1"/>
  <c r="G23" i="1"/>
  <c r="K23" i="1"/>
  <c r="E22" i="1"/>
  <c r="F22" i="1"/>
  <c r="G22" i="1"/>
  <c r="I22" i="1"/>
  <c r="C11" i="1"/>
  <c r="C12" i="1"/>
  <c r="F15" i="1" l="1"/>
  <c r="O24" i="1"/>
  <c r="C15" i="1"/>
  <c r="O21" i="1"/>
  <c r="O22" i="1"/>
  <c r="O23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<sst xmlns="http://schemas.openxmlformats.org/spreadsheetml/2006/main" count="56" uniqueCount="53">
  <si>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</si>
  <si>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</si>
  <si>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</si>
  <si>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</si>
  <si>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</si>
  <si>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</si>
  <si>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</si>
  <si>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</si>
  <si>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</si>
  <si>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</si>
  <si>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</si>
  <si>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</si>
  <si>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</si>
  <si>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</si>
  <si>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</si>
  <si>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</si>
  <si>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</si>
  <si>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</si>
  <si>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</si>
  <si>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</si>
  <si>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</si>
  <si>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</si>
  <si>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</si>
  <si>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</si>
  <si>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</si>
  <si>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</si>
  <si>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</si>
  <si>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</si>
  <si>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</si>
  <si>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</si>
  <si>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</si>
  <si>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</si>
  <si>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</si>
  <si>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</si>
  <si>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</si>
  <si>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</si>
  <si>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GP Cet / GSC 4678-0496</t>
  </si>
  <si>
    <t>EA</t>
  </si>
  <si>
    <t>OEJV 0142</t>
  </si>
  <si>
    <t>I</t>
  </si>
  <si>
    <t>VSB 067</t>
  </si>
  <si>
    <t>II</t>
  </si>
  <si>
    <t>Ic</t>
  </si>
  <si>
    <t>pg</t>
  </si>
  <si>
    <t>vis</t>
  </si>
  <si>
    <t>PE</t>
  </si>
  <si>
    <t>CCD</t>
  </si>
  <si>
    <t>VSB, 108</t>
  </si>
  <si>
    <t xml:space="preserve">Mag </t>
  </si>
  <si>
    <t>Next ToM-P</t>
  </si>
  <si>
    <t>Next ToM-S</t>
  </si>
  <si>
    <t>VSX</t>
  </si>
  <si>
    <t>9.81-10.26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</si>
</sst>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protection locked="0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Alignment="1"/>
    <xf numFmtId="0" fontId="0" fillId="2" borderId="6" xfId="0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GP Cet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1258</c:v>
                </c:pt>
                <c:pt idx="2">
                  <c:v>2081.5</c:v>
                </c:pt>
                <c:pt idx="3">
                  <c:v>2376.5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1E-4736-BB9F-3897720EBE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1258</c:v>
                </c:pt>
                <c:pt idx="2">
                  <c:v>2081.5</c:v>
                </c:pt>
                <c:pt idx="3">
                  <c:v>2376.5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-1.3000000006286427E-2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1E-4736-BB9F-3897720EBE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1258</c:v>
                </c:pt>
                <c:pt idx="2">
                  <c:v>2081.5</c:v>
                </c:pt>
                <c:pt idx="3">
                  <c:v>2376.5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1E-4736-BB9F-3897720EBE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1258</c:v>
                </c:pt>
                <c:pt idx="2">
                  <c:v>2081.5</c:v>
                </c:pt>
                <c:pt idx="3">
                  <c:v>2376.5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-5.6149999996705446E-2</c:v>
                </c:pt>
                <c:pt idx="3">
                  <c:v>-3.9249999841558747E-2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1E-4736-BB9F-3897720EBE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1258</c:v>
                </c:pt>
                <c:pt idx="2">
                  <c:v>2081.5</c:v>
                </c:pt>
                <c:pt idx="3">
                  <c:v>2376.5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1E-4736-BB9F-3897720EBE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1258</c:v>
                </c:pt>
                <c:pt idx="2">
                  <c:v>2081.5</c:v>
                </c:pt>
                <c:pt idx="3">
                  <c:v>2376.5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1E-4736-BB9F-3897720EBE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1258</c:v>
                </c:pt>
                <c:pt idx="2">
                  <c:v>2081.5</c:v>
                </c:pt>
                <c:pt idx="3">
                  <c:v>2376.5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1E-4736-BB9F-3897720EBE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1258</c:v>
                </c:pt>
                <c:pt idx="2">
                  <c:v>2081.5</c:v>
                </c:pt>
                <c:pt idx="3">
                  <c:v>2376.5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3.0409917928156567E-3</c:v>
                </c:pt>
                <c:pt idx="1">
                  <c:v>-2.3493205286591809E-2</c:v>
                </c:pt>
                <c:pt idx="2">
                  <c:v>-4.0862769114009961E-2</c:v>
                </c:pt>
                <c:pt idx="3">
                  <c:v>-4.7085017236764504E-2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1E-4736-BB9F-3897720EB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455288"/>
        <c:axId val="1"/>
      </c:scatterChart>
      <c:valAx>
        <c:axId val="658455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455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20FC93-28C0-BAA3-3D8B-DED92F8F0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8554687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24</v>
      </c>
      <c r="B2" s="27" t="s">
        <v>37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51466.87</v>
      </c>
      <c r="D4" s="9">
        <v>3.4885000000000002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51466.87</v>
      </c>
      <c r="D7" s="37" t="s">
        <v>51</v>
      </c>
    </row>
    <row r="8" spans="1:6" x14ac:dyDescent="0.2">
      <c r="A8" t="s">
        <v>3</v>
      </c>
      <c r="C8">
        <f>+D4</f>
        <v>3.4885000000000002</v>
      </c>
      <c r="D8" s="37" t="s">
        <v>51</v>
      </c>
    </row>
    <row r="9" spans="1:6" x14ac:dyDescent="0.2">
      <c r="A9" s="25" t="s">
        <v>32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2">
        <f ca="1">INTERCEPT(INDIRECT($D$9):G992,INDIRECT($C$9):F992)</f>
        <v>3.0409917928156567E-3</v>
      </c>
      <c r="D11" s="3"/>
      <c r="E11" s="12"/>
    </row>
    <row r="12" spans="1:6" x14ac:dyDescent="0.2">
      <c r="A12" s="12" t="s">
        <v>17</v>
      </c>
      <c r="B12" s="12"/>
      <c r="C12" s="22">
        <f ca="1">SLOPE(INDIRECT($D$9):G992,INDIRECT($C$9):F992)</f>
        <v>-2.1092366517811975E-5</v>
      </c>
      <c r="D12" s="3"/>
      <c r="E12" s="38" t="s">
        <v>48</v>
      </c>
      <c r="F12" s="39" t="s">
        <v>52</v>
      </c>
    </row>
    <row r="13" spans="1:6" x14ac:dyDescent="0.2">
      <c r="A13" s="12" t="s">
        <v>19</v>
      </c>
      <c r="B13" s="12"/>
      <c r="C13" s="3" t="s">
        <v>14</v>
      </c>
      <c r="E13" s="40" t="s">
        <v>33</v>
      </c>
      <c r="F13" s="41">
        <v>1</v>
      </c>
    </row>
    <row r="14" spans="1:6" x14ac:dyDescent="0.2">
      <c r="A14" s="12"/>
      <c r="B14" s="12"/>
      <c r="C14" s="12"/>
      <c r="E14" s="40" t="s">
        <v>31</v>
      </c>
      <c r="F14" s="42">
        <f ca="1">NOW()+15018.5+$C$5/24</f>
        <v>60507.705789236112</v>
      </c>
    </row>
    <row r="15" spans="1:6" x14ac:dyDescent="0.2">
      <c r="A15" s="14" t="s">
        <v>18</v>
      </c>
      <c r="B15" s="12"/>
      <c r="C15" s="15">
        <f ca="1">(C7+C11)+(C8+C12)*INT(MAX(F21:F3533))</f>
        <v>59755.498925528955</v>
      </c>
      <c r="E15" s="43" t="s">
        <v>34</v>
      </c>
      <c r="F15" s="42">
        <f ca="1">ROUND(2*($F$14-$C$7)/$C$8,0)/2+$F$13</f>
        <v>2592.5</v>
      </c>
    </row>
    <row r="16" spans="1:6" x14ac:dyDescent="0.2">
      <c r="A16" s="17" t="s">
        <v>4</v>
      </c>
      <c r="B16" s="12"/>
      <c r="C16" s="18">
        <f ca="1">+C8+C12</f>
        <v>3.4884789076334823</v>
      </c>
      <c r="E16" s="43" t="s">
        <v>35</v>
      </c>
      <c r="F16" s="42">
        <f ca="1">ROUND(2*($F$14-$C$15)/$C$16,0)/2+$F$13</f>
        <v>216.5</v>
      </c>
    </row>
    <row r="17" spans="1:17" ht="13.5" thickBot="1" x14ac:dyDescent="0.25">
      <c r="A17" s="16" t="s">
        <v>28</v>
      </c>
      <c r="B17" s="12"/>
      <c r="C17" s="12">
        <f>COUNT(C21:C2191)</f>
        <v>4</v>
      </c>
      <c r="E17" s="43" t="s">
        <v>49</v>
      </c>
      <c r="F17" s="44">
        <f ca="1">+$C$15+$C$16*$F$16-15018.5-$C$5/24</f>
        <v>45492.650442364938</v>
      </c>
    </row>
    <row r="18" spans="1:17" ht="14.25" thickTop="1" thickBot="1" x14ac:dyDescent="0.25">
      <c r="A18" s="17" t="s">
        <v>5</v>
      </c>
      <c r="B18" s="12"/>
      <c r="C18" s="20">
        <f ca="1">+C15</f>
        <v>59755.498925528955</v>
      </c>
      <c r="D18" s="21">
        <f ca="1">+C16</f>
        <v>3.4884789076334823</v>
      </c>
      <c r="E18" s="46" t="s">
        <v>50</v>
      </c>
      <c r="F18" s="45">
        <f ca="1">+($C$15+$C$16*$F$16)-($C$16/2)-15018.5-$C$5/24</f>
        <v>45490.906202911123</v>
      </c>
    </row>
    <row r="19" spans="1:17" ht="13.5" thickTop="1" x14ac:dyDescent="0.2">
      <c r="E19" s="16"/>
      <c r="F19" s="19"/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44</v>
      </c>
      <c r="J20" s="7" t="s">
        <v>45</v>
      </c>
      <c r="K20" s="7" t="s">
        <v>46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51466.87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3.0409917928156567E-3</v>
      </c>
      <c r="Q21" s="2">
        <f>+C21-15018.5</f>
        <v>36448.370000000003</v>
      </c>
    </row>
    <row r="22" spans="1:17" x14ac:dyDescent="0.2">
      <c r="A22" s="28" t="s">
        <v>38</v>
      </c>
      <c r="B22" s="29" t="s">
        <v>39</v>
      </c>
      <c r="C22" s="28">
        <v>55855.39</v>
      </c>
      <c r="D22" s="28">
        <v>0.02</v>
      </c>
      <c r="E22">
        <f>+(C22-C$7)/C$8</f>
        <v>1257.9962734699718</v>
      </c>
      <c r="F22">
        <f>ROUND(2*E22,0)/2</f>
        <v>1258</v>
      </c>
      <c r="G22">
        <f>+C22-(C$7+F22*C$8)</f>
        <v>-1.3000000006286427E-2</v>
      </c>
      <c r="I22">
        <f>+G22</f>
        <v>-1.3000000006286427E-2</v>
      </c>
      <c r="O22">
        <f ca="1">+C$11+C$12*$F22</f>
        <v>-2.3493205286591809E-2</v>
      </c>
      <c r="Q22" s="2">
        <f>+C22-15018.5</f>
        <v>40836.89</v>
      </c>
    </row>
    <row r="23" spans="1:17" x14ac:dyDescent="0.2">
      <c r="A23" s="30" t="s">
        <v>40</v>
      </c>
      <c r="B23" s="31" t="s">
        <v>41</v>
      </c>
      <c r="C23" s="32">
        <v>58728.126600000003</v>
      </c>
      <c r="D23" s="32" t="s">
        <v>42</v>
      </c>
      <c r="E23">
        <f>+(C23-C$7)/C$8</f>
        <v>2081.4839042568442</v>
      </c>
      <c r="F23">
        <f>ROUND(2*E23,0)/2</f>
        <v>2081.5</v>
      </c>
      <c r="G23">
        <f>+C23-(C$7+F23*C$8)</f>
        <v>-5.6149999996705446E-2</v>
      </c>
      <c r="K23">
        <f>+G23</f>
        <v>-5.6149999996705446E-2</v>
      </c>
      <c r="O23">
        <f ca="1">+C$11+C$12*$F23</f>
        <v>-4.0862769114009961E-2</v>
      </c>
      <c r="Q23" s="2">
        <f>+C23-15018.5</f>
        <v>43709.626600000003</v>
      </c>
    </row>
    <row r="24" spans="1:17" x14ac:dyDescent="0.2">
      <c r="A24" s="33" t="s">
        <v>47</v>
      </c>
      <c r="B24" s="34" t="s">
        <v>41</v>
      </c>
      <c r="C24" s="36">
        <v>59757.251000000164</v>
      </c>
      <c r="D24" s="35"/>
      <c r="E24">
        <f>+(C24-C$7)/C$8</f>
        <v>2376.4887487459255</v>
      </c>
      <c r="F24">
        <f>ROUND(2*E24,0)/2</f>
        <v>2376.5</v>
      </c>
      <c r="G24">
        <f>+C24-(C$7+F24*C$8)</f>
        <v>-3.9249999841558747E-2</v>
      </c>
      <c r="K24">
        <f>+G24</f>
        <v>-3.9249999841558747E-2</v>
      </c>
      <c r="O24">
        <f ca="1">+C$11+C$12*$F24</f>
        <v>-4.7085017236764504E-2</v>
      </c>
      <c r="Q24" s="2">
        <f>+C24-15018.5</f>
        <v>44738.751000000164</v>
      </c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3:D23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2024-07-16T04:56:20Z</dcterms:modified>
</cp:coreProperties>
</file>