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E7C834DC-6DFD-402F-9EE2-89CC99BABE8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F14" i="1" l="1"/>
  <c r="F15" i="1" s="1"/>
  <c r="K24" i="1"/>
  <c r="K25" i="1"/>
  <c r="K26" i="1"/>
  <c r="E25" i="1"/>
  <c r="F25" i="1" s="1"/>
  <c r="G25" i="1" s="1"/>
  <c r="I25" i="1" s="1"/>
  <c r="Q25" i="1"/>
  <c r="E26" i="1"/>
  <c r="F26" i="1" s="1"/>
  <c r="G26" i="1" s="1"/>
  <c r="I26" i="1" s="1"/>
  <c r="Q26" i="1"/>
  <c r="E22" i="1"/>
  <c r="F22" i="1"/>
  <c r="G22" i="1"/>
  <c r="I22" i="1"/>
  <c r="E23" i="1"/>
  <c r="F23" i="1"/>
  <c r="G23" i="1"/>
  <c r="K23" i="1"/>
  <c r="E24" i="1"/>
  <c r="F24" i="1"/>
  <c r="G24" i="1"/>
  <c r="I24" i="1"/>
  <c r="E21" i="1"/>
  <c r="F21" i="1" s="1"/>
  <c r="G21" i="1" s="1"/>
  <c r="I21" i="1" s="1"/>
  <c r="C9" i="1"/>
  <c r="D9" i="1"/>
  <c r="Q22" i="1"/>
  <c r="Q23" i="1"/>
  <c r="Q24" i="1"/>
  <c r="C17" i="1"/>
  <c r="Q21" i="1"/>
  <c r="C12" i="1"/>
  <c r="C11" i="1"/>
  <c r="O26" i="1" l="1"/>
  <c r="S26" i="1" s="1"/>
  <c r="O25" i="1"/>
  <c r="S25" i="1" s="1"/>
  <c r="C16" i="1"/>
  <c r="D18" i="1" s="1"/>
  <c r="C15" i="1"/>
  <c r="O23" i="1"/>
  <c r="S23" i="1" s="1"/>
  <c r="O21" i="1"/>
  <c r="S21" i="1" s="1"/>
  <c r="O22" i="1"/>
  <c r="S22" i="1" s="1"/>
  <c r="O24" i="1"/>
  <c r="S24" i="1" s="1"/>
  <c r="F16" i="1" l="1"/>
  <c r="F18" i="1" s="1"/>
  <c r="S19" i="1"/>
  <c r="C18" i="1"/>
  <c r="F17" i="1" l="1"/>
</calcChain>
</file>

<file path=xl/sharedStrings.xml><?xml version="1.0" encoding="utf-8"?>
<sst xmlns="http://schemas.openxmlformats.org/spreadsheetml/2006/main" count="71" uniqueCount="59">
  <si>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</si>
  <si>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</si>
  <si>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</si>
  <si>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</si>
  <si>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</si>
  <si>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</si>
  <si>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</si>
  <si>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</si>
  <si>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</si>
  <si>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</si>
  <si>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</si>
  <si>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</si>
  <si>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</si>
  <si>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</si>
  <si>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</si>
  <si>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</si>
  <si>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</si>
  <si>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</si>
  <si>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</si>
  <si>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</si>
  <si>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</si>
  <si>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</si>
  <si>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</si>
  <si>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</si>
  <si>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</si>
  <si>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</si>
  <si>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</si>
  <si>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</si>
  <si>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</si>
  <si>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</si>
  <si>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</si>
  <si>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</si>
  <si>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</si>
  <si>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</si>
  <si>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</si>
  <si>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</si>
  <si>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</si>
  <si>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</si>
  <si>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G4688-0485</t>
  </si>
  <si>
    <t>OEJV 0155</t>
  </si>
  <si>
    <t>II</t>
  </si>
  <si>
    <t>IBVS 5960</t>
  </si>
  <si>
    <t>I</t>
  </si>
  <si>
    <t>VSX</t>
  </si>
  <si>
    <t>Cet</t>
  </si>
  <si>
    <t>G4688-0485_Cet.xls</t>
  </si>
  <si>
    <t>0,0100</t>
  </si>
  <si>
    <t>IS Cet / GSC 4688-0485</t>
  </si>
  <si>
    <t>pg</t>
  </si>
  <si>
    <t>vis</t>
  </si>
  <si>
    <t>PE</t>
  </si>
  <si>
    <t>CCD</t>
  </si>
  <si>
    <t>VSB, 91</t>
  </si>
  <si>
    <t>Ic</t>
  </si>
  <si>
    <t xml:space="preserve">Mag </t>
  </si>
  <si>
    <t>Next ToM-P</t>
  </si>
  <si>
    <t>Next ToM-S</t>
  </si>
  <si>
    <t>11.44-11.85</t>
  </si>
  <si>
    <t>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</si>
</sst>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21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  <font>
      <b/>
      <sz val="10"/>
      <color rgb="FF0070C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8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1" applyNumberFormat="0" applyFont="0" applyFill="0" applyAlignment="0" applyProtection="0"/>
  </cellStyleXfs>
  <cellXfs count="4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4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0" fillId="0" borderId="0" xfId="0" applyFont="1" applyAlignment="1">
      <alignment horizontal="right"/>
    </xf>
    <xf numFmtId="0" fontId="0" fillId="2" borderId="0" xfId="0" applyFill="1">
      <alignment vertical="top"/>
    </xf>
    <xf numFmtId="0" fontId="15" fillId="0" borderId="0" xfId="0" applyFont="1">
      <alignment vertical="top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vertical="center" wrapText="1"/>
    </xf>
    <xf numFmtId="0" fontId="17" fillId="0" borderId="0" xfId="0" applyFont="1" applyAlignment="1">
      <alignment horizontal="center" vertical="center" wrapText="1"/>
    </xf>
    <xf numFmtId="165" fontId="17" fillId="0" borderId="0" xfId="0" applyNumberFormat="1" applyFont="1" applyAlignment="1">
      <alignment vertical="center" wrapText="1"/>
    </xf>
    <xf numFmtId="0" fontId="5" fillId="0" borderId="0" xfId="0" applyFont="1" applyAlignment="1"/>
    <xf numFmtId="0" fontId="5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0" fillId="3" borderId="5" xfId="0" applyFill="1" applyBorder="1" applyAlignment="1">
      <alignment horizontal="right" vertical="center"/>
    </xf>
    <xf numFmtId="0" fontId="5" fillId="3" borderId="6" xfId="0" applyFont="1" applyFill="1" applyBorder="1" applyAlignment="1">
      <alignment horizontal="center" vertical="center"/>
    </xf>
    <xf numFmtId="0" fontId="18" fillId="0" borderId="7" xfId="0" applyFont="1" applyBorder="1" applyAlignment="1">
      <alignment horizontal="right" vertical="center"/>
    </xf>
    <xf numFmtId="0" fontId="20" fillId="0" borderId="8" xfId="0" applyFont="1" applyBorder="1" applyAlignment="1">
      <alignment horizontal="right" vertical="center"/>
    </xf>
    <xf numFmtId="0" fontId="19" fillId="0" borderId="8" xfId="0" applyFont="1" applyBorder="1" applyAlignment="1">
      <alignment horizontal="right" vertical="center"/>
    </xf>
    <xf numFmtId="22" fontId="19" fillId="0" borderId="8" xfId="0" applyNumberFormat="1" applyFont="1" applyBorder="1" applyAlignment="1">
      <alignment horizontal="right" vertical="center"/>
    </xf>
    <xf numFmtId="22" fontId="19" fillId="0" borderId="9" xfId="0" applyNumberFormat="1" applyFont="1" applyBorder="1" applyAlignment="1">
      <alignment horizontal="right" vertical="center"/>
    </xf>
    <xf numFmtId="0" fontId="18" fillId="0" borderId="10" xfId="0" applyFont="1" applyBorder="1" applyAlignment="1">
      <alignment horizontal="right" vertic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IS Cet - O-C Diagr.</a:t>
            </a:r>
          </a:p>
        </c:rich>
      </c:tx>
      <c:layout>
        <c:manualLayout>
          <c:xMode val="edge"/>
          <c:yMode val="edge"/>
          <c:x val="0.39398496240601505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50375939849624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6.9999999999999999E-4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6.9999999999999999E-4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268</c:v>
                </c:pt>
                <c:pt idx="2">
                  <c:v>2169</c:v>
                </c:pt>
                <c:pt idx="3">
                  <c:v>3020.5</c:v>
                </c:pt>
                <c:pt idx="4">
                  <c:v>12501.5</c:v>
                </c:pt>
                <c:pt idx="5">
                  <c:v>12522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4CC-4979-A376-9F2D3927674C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6.9999999999999999E-4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6.9999999999999999E-4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268</c:v>
                </c:pt>
                <c:pt idx="2">
                  <c:v>2169</c:v>
                </c:pt>
                <c:pt idx="3">
                  <c:v>3020.5</c:v>
                </c:pt>
                <c:pt idx="4">
                  <c:v>12501.5</c:v>
                </c:pt>
                <c:pt idx="5">
                  <c:v>12522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  <c:pt idx="1">
                  <c:v>-2.3959999962244183E-3</c:v>
                </c:pt>
                <c:pt idx="3">
                  <c:v>-7.6350000017555431E-4</c:v>
                </c:pt>
                <c:pt idx="4">
                  <c:v>-6.7370500066317618E-2</c:v>
                </c:pt>
                <c:pt idx="5">
                  <c:v>-6.5833999782626051E-2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4CC-4979-A376-9F2D3927674C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6.9999999999999999E-4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6.9999999999999999E-4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268</c:v>
                </c:pt>
                <c:pt idx="2">
                  <c:v>2169</c:v>
                </c:pt>
                <c:pt idx="3">
                  <c:v>3020.5</c:v>
                </c:pt>
                <c:pt idx="4">
                  <c:v>12501.5</c:v>
                </c:pt>
                <c:pt idx="5">
                  <c:v>12522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4CC-4979-A376-9F2D3927674C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6.9999999999999999E-4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6.9999999999999999E-4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268</c:v>
                </c:pt>
                <c:pt idx="2">
                  <c:v>2169</c:v>
                </c:pt>
                <c:pt idx="3">
                  <c:v>3020.5</c:v>
                </c:pt>
                <c:pt idx="4">
                  <c:v>12501.5</c:v>
                </c:pt>
                <c:pt idx="5">
                  <c:v>12522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2">
                  <c:v>1.2057000007189345E-2</c:v>
                </c:pt>
                <c:pt idx="3">
                  <c:v>-7.6350000017555431E-4</c:v>
                </c:pt>
                <c:pt idx="4">
                  <c:v>-6.7370500066317618E-2</c:v>
                </c:pt>
                <c:pt idx="5">
                  <c:v>-6.5833999782626051E-2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4CC-4979-A376-9F2D3927674C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6.9999999999999999E-4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6.9999999999999999E-4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268</c:v>
                </c:pt>
                <c:pt idx="2">
                  <c:v>2169</c:v>
                </c:pt>
                <c:pt idx="3">
                  <c:v>3020.5</c:v>
                </c:pt>
                <c:pt idx="4">
                  <c:v>12501.5</c:v>
                </c:pt>
                <c:pt idx="5">
                  <c:v>12522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4CC-4979-A376-9F2D3927674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6.9999999999999999E-4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6.9999999999999999E-4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268</c:v>
                </c:pt>
                <c:pt idx="2">
                  <c:v>2169</c:v>
                </c:pt>
                <c:pt idx="3">
                  <c:v>3020.5</c:v>
                </c:pt>
                <c:pt idx="4">
                  <c:v>12501.5</c:v>
                </c:pt>
                <c:pt idx="5">
                  <c:v>12522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4CC-4979-A376-9F2D3927674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6.9999999999999999E-4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6.9999999999999999E-4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268</c:v>
                </c:pt>
                <c:pt idx="2">
                  <c:v>2169</c:v>
                </c:pt>
                <c:pt idx="3">
                  <c:v>3020.5</c:v>
                </c:pt>
                <c:pt idx="4">
                  <c:v>12501.5</c:v>
                </c:pt>
                <c:pt idx="5">
                  <c:v>12522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4CC-4979-A376-9F2D3927674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268</c:v>
                </c:pt>
                <c:pt idx="2">
                  <c:v>2169</c:v>
                </c:pt>
                <c:pt idx="3">
                  <c:v>3020.5</c:v>
                </c:pt>
                <c:pt idx="4">
                  <c:v>12501.5</c:v>
                </c:pt>
                <c:pt idx="5">
                  <c:v>12522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1.3382030575894276E-2</c:v>
                </c:pt>
                <c:pt idx="1">
                  <c:v>1.1700780061530454E-2</c:v>
                </c:pt>
                <c:pt idx="2">
                  <c:v>-2.2480660938606692E-4</c:v>
                </c:pt>
                <c:pt idx="3">
                  <c:v>-5.5665409861800769E-3</c:v>
                </c:pt>
                <c:pt idx="4">
                  <c:v>-6.50439145932077E-2</c:v>
                </c:pt>
                <c:pt idx="5">
                  <c:v>-6.5172517710910913E-2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4CC-4979-A376-9F2D3927674C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268</c:v>
                </c:pt>
                <c:pt idx="2">
                  <c:v>2169</c:v>
                </c:pt>
                <c:pt idx="3">
                  <c:v>3020.5</c:v>
                </c:pt>
                <c:pt idx="4">
                  <c:v>12501.5</c:v>
                </c:pt>
                <c:pt idx="5">
                  <c:v>12522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4CC-4979-A376-9F2D392767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5230848"/>
        <c:axId val="1"/>
      </c:scatterChart>
      <c:valAx>
        <c:axId val="5052308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0523084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954887218045113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0</xdr:row>
      <xdr:rowOff>0</xdr:rowOff>
    </xdr:from>
    <xdr:to>
      <xdr:col>17</xdr:col>
      <xdr:colOff>142875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0BF4D2BE-AD7D-D643-48D4-4A3E872FA3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7" sqref="F7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2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47</v>
      </c>
      <c r="E1" t="s">
        <v>45</v>
      </c>
    </row>
    <row r="2" spans="1:6" x14ac:dyDescent="0.2">
      <c r="A2" t="s">
        <v>23</v>
      </c>
      <c r="B2" s="38" t="s">
        <v>58</v>
      </c>
      <c r="C2" s="28" t="s">
        <v>37</v>
      </c>
      <c r="D2" s="3" t="s">
        <v>44</v>
      </c>
      <c r="E2" s="29" t="s">
        <v>38</v>
      </c>
      <c r="F2" t="s">
        <v>38</v>
      </c>
    </row>
    <row r="3" spans="1:6" ht="13.5" thickBot="1" x14ac:dyDescent="0.25"/>
    <row r="4" spans="1:6" ht="14.25" thickTop="1" thickBot="1" x14ac:dyDescent="0.25">
      <c r="A4" s="5" t="s">
        <v>0</v>
      </c>
      <c r="C4" s="26" t="s">
        <v>36</v>
      </c>
      <c r="D4" s="27" t="s">
        <v>36</v>
      </c>
    </row>
    <row r="5" spans="1:6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6" x14ac:dyDescent="0.2">
      <c r="A6" s="5" t="s">
        <v>1</v>
      </c>
    </row>
    <row r="7" spans="1:6" x14ac:dyDescent="0.2">
      <c r="A7" t="s">
        <v>2</v>
      </c>
      <c r="C7" s="39">
        <v>54697.847999999998</v>
      </c>
      <c r="D7" s="40" t="s">
        <v>43</v>
      </c>
    </row>
    <row r="8" spans="1:6" x14ac:dyDescent="0.2">
      <c r="A8" t="s">
        <v>3</v>
      </c>
      <c r="C8" s="39">
        <v>0.38764700000000002</v>
      </c>
      <c r="D8" s="40" t="s">
        <v>43</v>
      </c>
    </row>
    <row r="9" spans="1:6" x14ac:dyDescent="0.2">
      <c r="A9" s="23" t="s">
        <v>31</v>
      </c>
      <c r="B9" s="24">
        <v>22</v>
      </c>
      <c r="C9" s="21" t="str">
        <f>"F"&amp;B9</f>
        <v>F22</v>
      </c>
      <c r="D9" s="22" t="str">
        <f>"G"&amp;B9</f>
        <v>G22</v>
      </c>
    </row>
    <row r="10" spans="1:6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6" x14ac:dyDescent="0.2">
      <c r="A11" s="10" t="s">
        <v>15</v>
      </c>
      <c r="B11" s="10"/>
      <c r="C11" s="20">
        <f ca="1">INTERCEPT(INDIRECT($D$9):G992,INDIRECT($C$9):F992)</f>
        <v>1.3382030575894276E-2</v>
      </c>
      <c r="D11" s="3"/>
      <c r="E11" s="10"/>
    </row>
    <row r="12" spans="1:6" x14ac:dyDescent="0.2">
      <c r="A12" s="10" t="s">
        <v>16</v>
      </c>
      <c r="B12" s="10"/>
      <c r="C12" s="20">
        <f ca="1">SLOPE(INDIRECT($D$9):G992,INDIRECT($C$9):F992)</f>
        <v>-6.2733228147903839E-6</v>
      </c>
      <c r="D12" s="3"/>
      <c r="E12" s="41" t="s">
        <v>54</v>
      </c>
      <c r="F12" s="42" t="s">
        <v>57</v>
      </c>
    </row>
    <row r="13" spans="1:6" x14ac:dyDescent="0.2">
      <c r="A13" s="10" t="s">
        <v>18</v>
      </c>
      <c r="B13" s="10"/>
      <c r="C13" s="3" t="s">
        <v>13</v>
      </c>
      <c r="E13" s="43" t="s">
        <v>33</v>
      </c>
      <c r="F13" s="44">
        <v>1</v>
      </c>
    </row>
    <row r="14" spans="1:6" x14ac:dyDescent="0.2">
      <c r="A14" s="10"/>
      <c r="B14" s="10"/>
      <c r="C14" s="10"/>
      <c r="E14" s="43" t="s">
        <v>30</v>
      </c>
      <c r="F14" s="45">
        <f ca="1">NOW()+15018.5+$C$5/24</f>
        <v>60507.740245138884</v>
      </c>
    </row>
    <row r="15" spans="1:6" x14ac:dyDescent="0.2">
      <c r="A15" s="12" t="s">
        <v>17</v>
      </c>
      <c r="B15" s="10"/>
      <c r="C15" s="13">
        <f ca="1">(C7+C11)+(C8+C12)*INT(MAX(F21:F3533))</f>
        <v>59551.898561482289</v>
      </c>
      <c r="E15" s="43" t="s">
        <v>34</v>
      </c>
      <c r="F15" s="45">
        <f ca="1">ROUND(2*($F$14-$C$7)/$C$8,0)/2+$F$13</f>
        <v>14988.5</v>
      </c>
    </row>
    <row r="16" spans="1:6" x14ac:dyDescent="0.2">
      <c r="A16" s="15" t="s">
        <v>4</v>
      </c>
      <c r="B16" s="10"/>
      <c r="C16" s="16">
        <f ca="1">+C8+C12</f>
        <v>0.38764072667718524</v>
      </c>
      <c r="E16" s="43" t="s">
        <v>35</v>
      </c>
      <c r="F16" s="45">
        <f ca="1">ROUND(2*($F$14-$C$15)/$C$16,0)/2+$F$13</f>
        <v>2467</v>
      </c>
    </row>
    <row r="17" spans="1:19" ht="13.5" thickBot="1" x14ac:dyDescent="0.25">
      <c r="A17" s="14" t="s">
        <v>27</v>
      </c>
      <c r="B17" s="10"/>
      <c r="C17" s="10">
        <f>COUNT(C21:C2191)</f>
        <v>6</v>
      </c>
      <c r="E17" s="43" t="s">
        <v>55</v>
      </c>
      <c r="F17" s="46">
        <f ca="1">+$C$15+$C$16*$F$16-15018.5-$C$5/24</f>
        <v>45490.104067528242</v>
      </c>
    </row>
    <row r="18" spans="1:19" ht="14.25" thickTop="1" thickBot="1" x14ac:dyDescent="0.25">
      <c r="A18" s="15" t="s">
        <v>5</v>
      </c>
      <c r="B18" s="10"/>
      <c r="C18" s="18">
        <f ca="1">+C15</f>
        <v>59551.898561482289</v>
      </c>
      <c r="D18" s="19">
        <f ca="1">+C16</f>
        <v>0.38764072667718524</v>
      </c>
      <c r="E18" s="48" t="s">
        <v>56</v>
      </c>
      <c r="F18" s="47">
        <f ca="1">+($C$15+$C$16*$F$16)-($C$16/2)-15018.5-$C$5/24</f>
        <v>45489.910247164902</v>
      </c>
    </row>
    <row r="19" spans="1:19" ht="13.5" thickTop="1" x14ac:dyDescent="0.2">
      <c r="E19" s="14"/>
      <c r="F19" s="17"/>
      <c r="S19">
        <f ca="1">SQRT(SUM(S21:S50)/(COUNT(S21:S50)-1))</f>
        <v>1.0559928837884905E-2</v>
      </c>
    </row>
    <row r="20" spans="1:19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48</v>
      </c>
      <c r="I20" s="7" t="s">
        <v>49</v>
      </c>
      <c r="J20" s="7" t="s">
        <v>50</v>
      </c>
      <c r="K20" s="7" t="s">
        <v>51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R20" s="25" t="s">
        <v>32</v>
      </c>
    </row>
    <row r="21" spans="1:19" x14ac:dyDescent="0.2">
      <c r="A21" t="s">
        <v>43</v>
      </c>
      <c r="C21" s="8">
        <v>54697.847999999998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1.3382030575894276E-2</v>
      </c>
      <c r="Q21" s="2">
        <f>+C21-15018.5</f>
        <v>39679.347999999998</v>
      </c>
      <c r="S21">
        <f ca="1">+(O21-G21)^2</f>
        <v>1.7907874233416931E-4</v>
      </c>
    </row>
    <row r="22" spans="1:19" x14ac:dyDescent="0.2">
      <c r="A22" s="30" t="s">
        <v>39</v>
      </c>
      <c r="B22" s="31" t="s">
        <v>40</v>
      </c>
      <c r="C22" s="32">
        <v>54801.735000000001</v>
      </c>
      <c r="D22" s="30" t="s">
        <v>46</v>
      </c>
      <c r="E22">
        <f>+(C22-C$7)/C$8</f>
        <v>267.99381911894699</v>
      </c>
      <c r="F22">
        <f>ROUND(2*E22,0)/2</f>
        <v>268</v>
      </c>
      <c r="G22">
        <f>+C22-(C$7+F22*C$8)</f>
        <v>-2.3959999962244183E-3</v>
      </c>
      <c r="I22">
        <f>+G22</f>
        <v>-2.3959999962244183E-3</v>
      </c>
      <c r="O22">
        <f ca="1">+C$11+C$12*$F22</f>
        <v>1.1700780061530454E-2</v>
      </c>
      <c r="Q22" s="2">
        <f>+C22-15018.5</f>
        <v>39783.235000000001</v>
      </c>
      <c r="S22">
        <f ca="1">+(O22-G22)^2</f>
        <v>1.9871920799671545E-4</v>
      </c>
    </row>
    <row r="23" spans="1:19" x14ac:dyDescent="0.2">
      <c r="A23" s="33" t="s">
        <v>41</v>
      </c>
      <c r="B23" s="34" t="s">
        <v>42</v>
      </c>
      <c r="C23" s="33">
        <v>55538.666400000002</v>
      </c>
      <c r="D23" s="33">
        <v>6.9999999999999999E-4</v>
      </c>
      <c r="E23">
        <f>+(C23-C$7)/C$8</f>
        <v>2169.0311030396306</v>
      </c>
      <c r="F23">
        <f>ROUND(2*E23,0)/2</f>
        <v>2169</v>
      </c>
      <c r="G23">
        <f>+C23-(C$7+F23*C$8)</f>
        <v>1.2057000007189345E-2</v>
      </c>
      <c r="K23">
        <f>+G23</f>
        <v>1.2057000007189345E-2</v>
      </c>
      <c r="O23">
        <f ca="1">+C$11+C$12*$F23</f>
        <v>-2.2480660938606692E-4</v>
      </c>
      <c r="Q23" s="2">
        <f>+C23-15018.5</f>
        <v>40520.166400000002</v>
      </c>
      <c r="S23">
        <f ca="1">+(O23-G23)^2</f>
        <v>1.5084277376695555E-4</v>
      </c>
    </row>
    <row r="24" spans="1:19" x14ac:dyDescent="0.2">
      <c r="A24" s="30" t="s">
        <v>39</v>
      </c>
      <c r="B24" s="31" t="s">
        <v>42</v>
      </c>
      <c r="C24" s="32">
        <v>55868.735000000001</v>
      </c>
      <c r="D24" s="30" t="s">
        <v>46</v>
      </c>
      <c r="E24">
        <f>+(C24-C$7)/C$8</f>
        <v>3020.4980304245933</v>
      </c>
      <c r="F24">
        <f>ROUND(2*E24,0)/2</f>
        <v>3020.5</v>
      </c>
      <c r="G24">
        <f>+C24-(C$7+F24*C$8)</f>
        <v>-7.6350000017555431E-4</v>
      </c>
      <c r="I24">
        <f>+G24</f>
        <v>-7.6350000017555431E-4</v>
      </c>
      <c r="K24">
        <f t="shared" ref="K24:K26" si="0">+G24</f>
        <v>-7.6350000017555431E-4</v>
      </c>
      <c r="O24">
        <f ca="1">+C$11+C$12*$F24</f>
        <v>-5.5665409861800769E-3</v>
      </c>
      <c r="Q24" s="2">
        <f>+C24-15018.5</f>
        <v>40850.235000000001</v>
      </c>
      <c r="S24">
        <f ca="1">+(O24-G24)^2</f>
        <v>2.3069202713239297E-5</v>
      </c>
    </row>
    <row r="25" spans="1:19" x14ac:dyDescent="0.2">
      <c r="A25" s="35" t="s">
        <v>52</v>
      </c>
      <c r="B25" s="36" t="s">
        <v>42</v>
      </c>
      <c r="C25" s="37">
        <v>59543.949599999934</v>
      </c>
      <c r="D25" s="35" t="s">
        <v>53</v>
      </c>
      <c r="E25">
        <f t="shared" ref="E25:E26" si="1">+(C25-C$7)/C$8</f>
        <v>12501.326206574373</v>
      </c>
      <c r="F25">
        <f t="shared" ref="F25:F26" si="2">ROUND(2*E25,0)/2</f>
        <v>12501.5</v>
      </c>
      <c r="G25">
        <f t="shared" ref="G25:G26" si="3">+C25-(C$7+F25*C$8)</f>
        <v>-6.7370500066317618E-2</v>
      </c>
      <c r="I25">
        <f t="shared" ref="I25:I26" si="4">+G25</f>
        <v>-6.7370500066317618E-2</v>
      </c>
      <c r="K25">
        <f t="shared" si="0"/>
        <v>-6.7370500066317618E-2</v>
      </c>
      <c r="O25">
        <f t="shared" ref="O25:O26" ca="1" si="5">+C$11+C$12*$F25</f>
        <v>-6.50439145932077E-2</v>
      </c>
      <c r="Q25" s="2">
        <f t="shared" ref="Q25:Q26" si="6">+C25-15018.5</f>
        <v>44525.449599999934</v>
      </c>
      <c r="S25">
        <f t="shared" ref="S25:S26" ca="1" si="7">+(O25-G25)^2</f>
        <v>5.4129999636861023E-6</v>
      </c>
    </row>
    <row r="26" spans="1:19" x14ac:dyDescent="0.2">
      <c r="A26" s="35" t="s">
        <v>52</v>
      </c>
      <c r="B26" s="36" t="s">
        <v>42</v>
      </c>
      <c r="C26" s="37">
        <v>59551.897900000215</v>
      </c>
      <c r="D26" s="35" t="s">
        <v>53</v>
      </c>
      <c r="E26">
        <f t="shared" si="1"/>
        <v>12521.830170232754</v>
      </c>
      <c r="F26">
        <f t="shared" si="2"/>
        <v>12522</v>
      </c>
      <c r="G26">
        <f t="shared" si="3"/>
        <v>-6.5833999782626051E-2</v>
      </c>
      <c r="I26">
        <f t="shared" si="4"/>
        <v>-6.5833999782626051E-2</v>
      </c>
      <c r="K26">
        <f t="shared" si="0"/>
        <v>-6.5833999782626051E-2</v>
      </c>
      <c r="O26">
        <f t="shared" ca="1" si="5"/>
        <v>-6.5172517710910913E-2</v>
      </c>
      <c r="Q26" s="2">
        <f t="shared" si="6"/>
        <v>44533.397900000215</v>
      </c>
      <c r="S26">
        <f t="shared" ca="1" si="7"/>
        <v>4.3755853120055196E-7</v>
      </c>
    </row>
    <row r="27" spans="1:19" x14ac:dyDescent="0.2">
      <c r="C27" s="8"/>
      <c r="D27" s="8"/>
      <c r="Q27" s="2"/>
    </row>
    <row r="28" spans="1:19" x14ac:dyDescent="0.2">
      <c r="C28" s="8"/>
      <c r="D28" s="8"/>
      <c r="Q28" s="2"/>
    </row>
    <row r="29" spans="1:19" x14ac:dyDescent="0.2">
      <c r="C29" s="8"/>
      <c r="D29" s="8"/>
      <c r="Q29" s="2"/>
    </row>
    <row r="30" spans="1:19" x14ac:dyDescent="0.2">
      <c r="C30" s="8"/>
      <c r="D30" s="8"/>
      <c r="Q30" s="2"/>
    </row>
    <row r="31" spans="1:19" x14ac:dyDescent="0.2">
      <c r="C31" s="8"/>
      <c r="D31" s="8"/>
      <c r="Q31" s="2"/>
    </row>
    <row r="32" spans="1:19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2024-07-16T05:45:57Z</dcterms:modified>
</cp:coreProperties>
</file>