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E6B2B2A-8386-4692-B557-1020BC0A2B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6" i="1" s="1"/>
  <c r="C17" i="1"/>
  <c r="Q22" i="1"/>
  <c r="C8" i="1"/>
  <c r="C7" i="1"/>
  <c r="Q21" i="1"/>
  <c r="E21" i="1"/>
  <c r="F21" i="1"/>
  <c r="G21" i="1"/>
  <c r="E22" i="1"/>
  <c r="F22" i="1"/>
  <c r="G22" i="1"/>
  <c r="I22" i="1"/>
  <c r="C12" i="1"/>
  <c r="C16" i="1"/>
  <c r="D18" i="1"/>
  <c r="H21" i="1"/>
  <c r="C11" i="1"/>
  <c r="O21" i="1"/>
  <c r="O22" i="1"/>
  <c r="C15" i="1"/>
  <c r="C18" i="1"/>
  <c r="F18" i="1" l="1"/>
  <c r="F17" i="1"/>
  <c r="F15" i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<sst xmlns="http://schemas.openxmlformats.org/spreadsheetml/2006/main" count="49" uniqueCount="47">
  <si>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</si>
  <si>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</si>
  <si>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</si>
  <si>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</si>
  <si>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</si>
  <si>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</si>
  <si>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</si>
  <si>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</si>
  <si>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</si>
  <si>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</si>
  <si>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</si>
  <si>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</si>
  <si>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</si>
  <si>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</si>
  <si>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</si>
  <si>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</si>
  <si>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</si>
  <si>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</si>
  <si>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</si>
  <si>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</si>
  <si>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</si>
  <si>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</si>
  <si>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</si>
  <si>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</si>
  <si>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</si>
  <si>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</si>
  <si>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</si>
  <si>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</si>
  <si>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</si>
  <si>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</si>
  <si>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Paschke A</t>
  </si>
  <si>
    <t>BBSAG Bull.90</t>
  </si>
  <si>
    <t>B</t>
  </si>
  <si>
    <t>BBSAG</t>
  </si>
  <si>
    <t># of data points:</t>
  </si>
  <si>
    <t>01 39 04.31 -17 50 48.4</t>
  </si>
  <si>
    <t>VW Cet / na</t>
  </si>
  <si>
    <t>My time zone&gt;&gt;&gt;&gt;&gt;</t>
  </si>
  <si>
    <t>Add cycle</t>
  </si>
  <si>
    <t>JD today</t>
  </si>
  <si>
    <t>Old Cycle</t>
  </si>
  <si>
    <t>New Cycle</t>
  </si>
  <si>
    <t>CCD</t>
  </si>
  <si>
    <t xml:space="preserve">Mag </t>
  </si>
  <si>
    <t>Next ToM-P</t>
  </si>
  <si>
    <t>Next ToM-S</t>
  </si>
  <si>
    <t>CST / EB/KW?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</si>
</sst>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6" fillId="0" borderId="0" xfId="0" applyFont="1" applyAlignment="1"/>
    <xf numFmtId="0" fontId="16" fillId="0" borderId="0" xfId="0" applyFont="1" applyAlignment="1"/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22" fontId="10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Cet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28942294984722"/>
          <c:y val="0.15"/>
          <c:w val="0.770661934503662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25452.5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D3-420D-A9D4-C1AFD02C01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25452.5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7.8999999997904524E-2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D3-420D-A9D4-C1AFD02C01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25452.5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D3-420D-A9D4-C1AFD02C01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25452.5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D3-420D-A9D4-C1AFD02C01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25452.5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D3-420D-A9D4-C1AFD02C01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25452.5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D3-420D-A9D4-C1AFD02C01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25452.5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D3-420D-A9D4-C1AFD02C01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25452.5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</c:v>
                </c:pt>
                <c:pt idx="1">
                  <c:v>7.8999999997904524E-2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D3-420D-A9D4-C1AFD02C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617640"/>
        <c:axId val="1"/>
      </c:scatterChart>
      <c:valAx>
        <c:axId val="56061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61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38099</xdr:rowOff>
    </xdr:from>
    <xdr:to>
      <xdr:col>18</xdr:col>
      <xdr:colOff>114300</xdr:colOff>
      <xdr:row>18</xdr:row>
      <xdr:rowOff>123824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DB27964-370F-3905-C261-9011AC1CB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2.42578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  <c r="C1" s="17" t="s">
        <v>35</v>
      </c>
    </row>
    <row r="2" spans="1:6">
      <c r="A2" t="s">
        <v>26</v>
      </c>
      <c r="B2" s="16" t="s">
        <v>46</v>
      </c>
    </row>
    <row r="4" spans="1:6">
      <c r="A4" s="8" t="s">
        <v>0</v>
      </c>
      <c r="C4" s="3">
        <v>35111.396000000001</v>
      </c>
      <c r="D4" s="4">
        <v>0.48599999999999999</v>
      </c>
    </row>
    <row r="5" spans="1:6">
      <c r="A5" s="18" t="s">
        <v>37</v>
      </c>
      <c r="C5" s="19">
        <v>-9.5</v>
      </c>
    </row>
    <row r="6" spans="1:6">
      <c r="A6" s="8" t="s">
        <v>1</v>
      </c>
    </row>
    <row r="7" spans="1:6">
      <c r="A7" t="s">
        <v>2</v>
      </c>
      <c r="C7">
        <f>+C4</f>
        <v>35111.396000000001</v>
      </c>
    </row>
    <row r="8" spans="1:6">
      <c r="A8" t="s">
        <v>3</v>
      </c>
      <c r="C8">
        <f>+D4</f>
        <v>0.48599999999999999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>
        <f>INTERCEPT(G21:G993,$F21:$F993)</f>
        <v>0</v>
      </c>
      <c r="D11" s="6"/>
    </row>
    <row r="12" spans="1:6">
      <c r="A12" t="s">
        <v>17</v>
      </c>
      <c r="C12">
        <f>SLOPE(G21:G993,$F21:$F993)</f>
        <v>3.1038208426639631E-6</v>
      </c>
      <c r="D12" s="6"/>
      <c r="E12" s="20" t="s">
        <v>43</v>
      </c>
      <c r="F12" s="21">
        <v>11.93</v>
      </c>
    </row>
    <row r="13" spans="1:6">
      <c r="A13" t="s">
        <v>20</v>
      </c>
      <c r="C13" s="6" t="s">
        <v>14</v>
      </c>
      <c r="D13" s="6"/>
      <c r="E13" s="22" t="s">
        <v>38</v>
      </c>
      <c r="F13" s="23">
        <v>1</v>
      </c>
    </row>
    <row r="14" spans="1:6">
      <c r="A14" t="s">
        <v>25</v>
      </c>
      <c r="E14" s="22" t="s">
        <v>39</v>
      </c>
      <c r="F14" s="24">
        <f ca="1">NOW()+15018.5+$C$5/24</f>
        <v>60510.665528472222</v>
      </c>
    </row>
    <row r="15" spans="1:6">
      <c r="A15" s="5" t="s">
        <v>18</v>
      </c>
      <c r="C15" s="11">
        <f>(C7+C11)+(C8+C12)*INT(MAX(F21:F3533))</f>
        <v>47481.146998448086</v>
      </c>
      <c r="E15" s="22" t="s">
        <v>40</v>
      </c>
      <c r="F15" s="24">
        <f ca="1">ROUND(2*($F$14-$C$7)/$C$8,0)/2+$F$13</f>
        <v>52263</v>
      </c>
    </row>
    <row r="16" spans="1:6">
      <c r="A16" s="8" t="s">
        <v>4</v>
      </c>
      <c r="C16" s="12">
        <f>+C8+C12</f>
        <v>0.48600310382084266</v>
      </c>
      <c r="E16" s="22" t="s">
        <v>41</v>
      </c>
      <c r="F16" s="24">
        <f ca="1">ROUND(2*($F$14-$C$15)/$C$16,0)/2+$F$13</f>
        <v>26810.5</v>
      </c>
    </row>
    <row r="17" spans="1:30" ht="13.5" thickBot="1">
      <c r="A17" s="13" t="s">
        <v>34</v>
      </c>
      <c r="C17">
        <f>COUNT(C21:C2191)</f>
        <v>2</v>
      </c>
      <c r="E17" s="22" t="s">
        <v>44</v>
      </c>
      <c r="F17" s="25">
        <f ca="1">+$C$15+$C$16*$F$16-15018.5-$C$5/24</f>
        <v>45493.029046770127</v>
      </c>
    </row>
    <row r="18" spans="1:30">
      <c r="A18" s="8" t="s">
        <v>5</v>
      </c>
      <c r="C18" s="3">
        <f>+C15</f>
        <v>47481.146998448086</v>
      </c>
      <c r="D18" s="4">
        <f>+C16</f>
        <v>0.48600310382084266</v>
      </c>
      <c r="E18" s="27" t="s">
        <v>45</v>
      </c>
      <c r="F18" s="26">
        <f ca="1">+($C$15+$C$16*$F$16)-($C$16/2)-15018.5-$C$5/24</f>
        <v>45492.786045218214</v>
      </c>
    </row>
    <row r="19" spans="1:30" ht="13.5" thickTop="1"/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42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0">
      <c r="A21" t="s">
        <v>12</v>
      </c>
      <c r="C21" s="14">
        <v>35111.396000000001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0</v>
      </c>
      <c r="Q21" s="2">
        <f>+C21-15018.5</f>
        <v>20092.896000000001</v>
      </c>
    </row>
    <row r="22" spans="1:30">
      <c r="A22" t="s">
        <v>31</v>
      </c>
      <c r="C22" s="15">
        <v>47481.39</v>
      </c>
      <c r="D22" s="14"/>
      <c r="E22">
        <f>+(C22-C$7)/C$8</f>
        <v>25452.662551440328</v>
      </c>
      <c r="F22">
        <f>ROUND(2*E22,0)/2</f>
        <v>25452.5</v>
      </c>
      <c r="G22">
        <f>+C22-(C$7+F22*C$8)</f>
        <v>7.8999999997904524E-2</v>
      </c>
      <c r="I22">
        <f>+G22</f>
        <v>7.8999999997904524E-2</v>
      </c>
      <c r="O22">
        <f>+C$11+C$12*$F22</f>
        <v>7.8999999997904524E-2</v>
      </c>
      <c r="Q22" s="2">
        <f>+C22-15018.5</f>
        <v>32462.89</v>
      </c>
      <c r="AA22">
        <v>13</v>
      </c>
      <c r="AB22" t="s">
        <v>30</v>
      </c>
      <c r="AD22" t="s">
        <v>32</v>
      </c>
    </row>
    <row r="23" spans="1:30">
      <c r="C23" s="14"/>
      <c r="D23" s="14"/>
      <c r="Q23" s="2"/>
    </row>
    <row r="24" spans="1:30">
      <c r="C24" s="14"/>
      <c r="D24" s="14"/>
      <c r="Q24" s="2"/>
    </row>
    <row r="25" spans="1:30">
      <c r="C25" s="14"/>
      <c r="D25" s="14"/>
      <c r="Q25" s="2"/>
    </row>
    <row r="26" spans="1:30">
      <c r="C26" s="14"/>
      <c r="D26" s="14"/>
      <c r="Q26" s="2"/>
    </row>
    <row r="27" spans="1:30">
      <c r="C27" s="14"/>
      <c r="D27" s="14"/>
      <c r="Q27" s="2"/>
    </row>
    <row r="28" spans="1:30">
      <c r="C28" s="14"/>
      <c r="D28" s="14"/>
    </row>
    <row r="29" spans="1:30">
      <c r="C29" s="14"/>
      <c r="D29" s="14"/>
    </row>
    <row r="30" spans="1:30">
      <c r="C30" s="14"/>
      <c r="D30" s="14"/>
    </row>
    <row r="31" spans="1:30">
      <c r="C31" s="14"/>
      <c r="D31" s="14"/>
    </row>
    <row r="32" spans="1:30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2024-07-19T03:58:21Z</dcterms:modified>
</cp:coreProperties>
</file>