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4F9DB7-8B7D-4578-B488-57F8C0C499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5" i="2" l="1"/>
  <c r="C15" i="2"/>
  <c r="G14" i="2"/>
  <c r="C14" i="2"/>
  <c r="E29" i="1"/>
  <c r="E14" i="2"/>
  <c r="G13" i="2"/>
  <c r="C13" i="2"/>
  <c r="G12" i="2"/>
  <c r="C12" i="2"/>
  <c r="E27" i="1"/>
  <c r="E12" i="2"/>
  <c r="G11" i="2"/>
  <c r="C11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E32" i="1"/>
  <c r="F32" i="1"/>
  <c r="G32" i="1"/>
  <c r="K32" i="1"/>
  <c r="E33" i="1"/>
  <c r="F33" i="1"/>
  <c r="E22" i="1"/>
  <c r="F22" i="1"/>
  <c r="G22" i="1"/>
  <c r="I22" i="1"/>
  <c r="E23" i="1"/>
  <c r="F23" i="1"/>
  <c r="U23" i="1"/>
  <c r="E25" i="1"/>
  <c r="F25" i="1"/>
  <c r="G25" i="1"/>
  <c r="C9" i="1"/>
  <c r="D9" i="1"/>
  <c r="Q31" i="1"/>
  <c r="Q32" i="1"/>
  <c r="Q33" i="1"/>
  <c r="Q29" i="1"/>
  <c r="Q28" i="1"/>
  <c r="Q30" i="1"/>
  <c r="F16" i="1"/>
  <c r="C17" i="1"/>
  <c r="Q27" i="1"/>
  <c r="Q25" i="1"/>
  <c r="K25" i="1"/>
  <c r="Q26" i="1"/>
  <c r="Q22" i="1"/>
  <c r="Q23" i="1"/>
  <c r="Q24" i="1"/>
  <c r="C7" i="1"/>
  <c r="E31" i="1"/>
  <c r="F31" i="1"/>
  <c r="G31" i="1"/>
  <c r="K31" i="1"/>
  <c r="C8" i="1"/>
  <c r="Q21" i="1"/>
  <c r="E15" i="2"/>
  <c r="E11" i="2"/>
  <c r="E13" i="2"/>
  <c r="F29" i="1"/>
  <c r="G29" i="1"/>
  <c r="K29" i="1"/>
  <c r="E26" i="1"/>
  <c r="F26" i="1"/>
  <c r="G26" i="1"/>
  <c r="K26" i="1"/>
  <c r="E28" i="1"/>
  <c r="F28" i="1"/>
  <c r="G28" i="1"/>
  <c r="J28" i="1"/>
  <c r="E30" i="1"/>
  <c r="F30" i="1"/>
  <c r="G30" i="1"/>
  <c r="K30" i="1"/>
  <c r="G27" i="1"/>
  <c r="J27" i="1"/>
  <c r="G33" i="1"/>
  <c r="K33" i="1"/>
  <c r="E21" i="1"/>
  <c r="F21" i="1"/>
  <c r="F27" i="1"/>
  <c r="E24" i="1"/>
  <c r="F24" i="1"/>
  <c r="U24" i="1"/>
  <c r="C12" i="1"/>
  <c r="C11" i="1"/>
  <c r="O31" i="1" l="1"/>
  <c r="O24" i="1"/>
  <c r="O26" i="1"/>
  <c r="O29" i="1"/>
  <c r="O32" i="1"/>
  <c r="O28" i="1"/>
  <c r="O27" i="1"/>
  <c r="O22" i="1"/>
  <c r="O21" i="1"/>
  <c r="O33" i="1"/>
  <c r="O23" i="1"/>
  <c r="O25" i="1"/>
  <c r="O30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<sst xmlns="http://schemas.openxmlformats.org/spreadsheetml/2006/main" count="134" uniqueCount="94">
  <si>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</si>
  <si>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</si>
  <si>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</si>
  <si>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</si>
  <si>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</si>
  <si>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</si>
  <si>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</si>
  <si>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</si>
  <si>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</si>
  <si>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</si>
  <si>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</si>
  <si>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</si>
  <si>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</si>
  <si>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</si>
  <si>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</si>
  <si>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</si>
  <si>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</si>
  <si>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</si>
  <si>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</si>
  <si>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</si>
  <si>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</si>
  <si>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</si>
  <si>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</si>
  <si>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</si>
  <si>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</si>
  <si>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</si>
  <si>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</si>
  <si>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</si>
  <si>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</si>
  <si>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Bull.86</t>
  </si>
  <si>
    <t>B</t>
  </si>
  <si>
    <t>BBSAG Bull.90</t>
  </si>
  <si>
    <t>BBSAG Bull.93</t>
  </si>
  <si>
    <t>IBVS 5263</t>
  </si>
  <si>
    <t>I</t>
  </si>
  <si>
    <t>IBVS 3877</t>
  </si>
  <si>
    <t>EA/SD</t>
  </si>
  <si>
    <t># of data points:</t>
  </si>
  <si>
    <t>AE Cnc / gsc 0810-2158</t>
  </si>
  <si>
    <t>IBVS 5657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</si>
  <si>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</si>
  <si>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</si>
  <si>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</si>
  <si>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</si>
  <si>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</si>
  <si>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</si>
  <si>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</si>
  <si>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</si>
  <si>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5992</t>
  </si>
  <si>
    <t>IBVS 6010</t>
  </si>
  <si>
    <t>IBVS 6011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</si>
  <si>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</si>
  <si>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</si>
  <si>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</si>
  <si>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</si>
  <si>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</si>
  <si>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</si>
  <si>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</si>
  <si>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</si>
  <si>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</si>
  <si>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</si>
  <si>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</si>
  <si>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</si>
  <si>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2451193.5731 </t>
  </si>
  <si>
    <t> 15.01.1999 01:45 </t>
  </si>
  <si>
    <t> -0.0020 </t>
  </si>
  <si>
    <t>E </t>
  </si>
  <si>
    <t>?</t>
  </si>
  <si>
    <t> Zejda &amp; Hanzl </t>
  </si>
  <si>
    <t>IBVS 5263 </t>
  </si>
  <si>
    <t>2453443.3356 </t>
  </si>
  <si>
    <t> 13.03.2005 20:03 </t>
  </si>
  <si>
    <t> -0.0021 </t>
  </si>
  <si>
    <t>-I</t>
  </si>
  <si>
    <t> F.Agerer </t>
  </si>
  <si>
    <t>BAVM 173 </t>
  </si>
  <si>
    <t>2455621.4657 </t>
  </si>
  <si>
    <t> 28.02.2011 23:10 </t>
  </si>
  <si>
    <t>330</t>
  </si>
  <si>
    <t> -0.0003 </t>
  </si>
  <si>
    <t>C </t>
  </si>
  <si>
    <t>BAVM 220 </t>
  </si>
  <si>
    <t>2455632.6588 </t>
  </si>
  <si>
    <t> 12.03.2011 03:48 </t>
  </si>
  <si>
    <t>335</t>
  </si>
  <si>
    <t> -0.0000 </t>
  </si>
  <si>
    <t> R.Diethelm </t>
  </si>
  <si>
    <t>IBVS 5992 </t>
  </si>
  <si>
    <t>2455934.8625 </t>
  </si>
  <si>
    <t> 08.01.2012 08:42 </t>
  </si>
  <si>
    <t>470</t>
  </si>
  <si>
    <t> -0.0033 </t>
  </si>
  <si>
    <t>IBVS 6011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</si>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</sst>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9" fillId="2" borderId="12" xfId="7" applyFill="1" applyBorder="1" applyAlignment="1" applyProtection="1">
      <alignment horizontal="right" vertical="top" wrapText="1"/>
    </xf>
    <xf numFmtId="0" fontId="19" fillId="0" borderId="5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Cnc - O-C Diagr.</a:t>
            </a:r>
          </a:p>
        </c:rich>
      </c:tx>
      <c:layout>
        <c:manualLayout>
          <c:xMode val="edge"/>
          <c:yMode val="edge"/>
          <c:x val="0.3900002999625046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4723926380368099"/>
          <c:w val="0.8328577238125863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C-493C-A887-D4F29A979E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1.5954000002238899E-2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5C-493C-A887-D4F29A979E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">
                  <c:v>-7.8067000002192799E-2</c:v>
                </c:pt>
                <c:pt idx="7">
                  <c:v>-0.10868599999957951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5C-493C-A887-D4F29A979E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-7.520999999542255E-3</c:v>
                </c:pt>
                <c:pt idx="5">
                  <c:v>-4.4551999999384861E-2</c:v>
                </c:pt>
                <c:pt idx="8">
                  <c:v>-0.10860100000718376</c:v>
                </c:pt>
                <c:pt idx="9">
                  <c:v>-0.11630599999625701</c:v>
                </c:pt>
                <c:pt idx="10">
                  <c:v>-0.13049599999794737</c:v>
                </c:pt>
                <c:pt idx="11">
                  <c:v>-0.13000599999941187</c:v>
                </c:pt>
                <c:pt idx="12">
                  <c:v>-0.12988600000244332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5C-493C-A887-D4F29A979E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5C-493C-A887-D4F29A979E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5C-493C-A887-D4F29A979E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4.0000000000000001E-3</c:v>
                  </c:pt>
                  <c:pt idx="5">
                    <c:v>1.9E-3</c:v>
                  </c:pt>
                  <c:pt idx="6">
                    <c:v>8.9999999999999998E-4</c:v>
                  </c:pt>
                  <c:pt idx="7">
                    <c:v>2.5000000000000001E-3</c:v>
                  </c:pt>
                  <c:pt idx="8">
                    <c:v>5.9999999999999995E-4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5C-493C-A887-D4F29A979E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7.9358501569958551E-2</c:v>
                </c:pt>
                <c:pt idx="1">
                  <c:v>1.8205121015589416E-2</c:v>
                </c:pt>
                <c:pt idx="2">
                  <c:v>1.2611405510335669E-2</c:v>
                </c:pt>
                <c:pt idx="3">
                  <c:v>7.1549590972354027E-3</c:v>
                </c:pt>
                <c:pt idx="4">
                  <c:v>-1.0106629241062953E-2</c:v>
                </c:pt>
                <c:pt idx="5">
                  <c:v>-4.363460499954705E-2</c:v>
                </c:pt>
                <c:pt idx="6">
                  <c:v>-7.8123464403105386E-2</c:v>
                </c:pt>
                <c:pt idx="7">
                  <c:v>-0.11151417106943601</c:v>
                </c:pt>
                <c:pt idx="8">
                  <c:v>-0.11168575743462786</c:v>
                </c:pt>
                <c:pt idx="9">
                  <c:v>-0.11631858929480732</c:v>
                </c:pt>
                <c:pt idx="10">
                  <c:v>-0.12832963485823562</c:v>
                </c:pt>
                <c:pt idx="11">
                  <c:v>-0.12832963485823562</c:v>
                </c:pt>
                <c:pt idx="12">
                  <c:v>-0.12832963485823562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5C-493C-A887-D4F29A979EC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1782</c:v>
                </c:pt>
                <c:pt idx="2">
                  <c:v>1945</c:v>
                </c:pt>
                <c:pt idx="3">
                  <c:v>2104</c:v>
                </c:pt>
                <c:pt idx="4">
                  <c:v>2607</c:v>
                </c:pt>
                <c:pt idx="5">
                  <c:v>3584</c:v>
                </c:pt>
                <c:pt idx="6">
                  <c:v>4589</c:v>
                </c:pt>
                <c:pt idx="7">
                  <c:v>5562</c:v>
                </c:pt>
                <c:pt idx="8">
                  <c:v>5567</c:v>
                </c:pt>
                <c:pt idx="9">
                  <c:v>5702</c:v>
                </c:pt>
                <c:pt idx="10">
                  <c:v>6052</c:v>
                </c:pt>
                <c:pt idx="11">
                  <c:v>6052</c:v>
                </c:pt>
                <c:pt idx="12">
                  <c:v>6052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-1.0335000006307382E-2</c:v>
                </c:pt>
                <c:pt idx="3">
                  <c:v>-1.9211999999242835E-2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5C-493C-A887-D4F29A979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65120"/>
        <c:axId val="1"/>
      </c:scatterChart>
      <c:valAx>
        <c:axId val="72436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145856767904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4285714285714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65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85729283839518"/>
          <c:y val="0.92024539877300615"/>
          <c:w val="0.687143307086614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66675</xdr:rowOff>
    </xdr:from>
    <xdr:to>
      <xdr:col>18</xdr:col>
      <xdr:colOff>238125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F8AA09-D799-9C94-0A44-DACADA544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5263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24</v>
      </c>
      <c r="B2" s="11" t="s">
        <v>36</v>
      </c>
      <c r="C2" s="12"/>
    </row>
    <row r="3" spans="1:6" ht="13.5" thickBot="1"/>
    <row r="4" spans="1:6" ht="14.25" thickTop="1" thickBot="1">
      <c r="A4" s="7" t="s">
        <v>0</v>
      </c>
      <c r="C4" s="3">
        <v>43170.464500000002</v>
      </c>
      <c r="D4" s="4">
        <v>2.2386029999999999</v>
      </c>
    </row>
    <row r="5" spans="1:6" ht="13.5" thickTop="1">
      <c r="A5" s="17" t="s">
        <v>40</v>
      </c>
      <c r="B5" s="12"/>
      <c r="C5" s="18">
        <v>-9.5</v>
      </c>
      <c r="D5" s="12" t="s">
        <v>41</v>
      </c>
    </row>
    <row r="6" spans="1:6">
      <c r="A6" s="7" t="s">
        <v>1</v>
      </c>
    </row>
    <row r="7" spans="1:6">
      <c r="A7" t="s">
        <v>2</v>
      </c>
      <c r="C7">
        <f>+C4</f>
        <v>43170.464500000002</v>
      </c>
    </row>
    <row r="8" spans="1:6">
      <c r="A8" t="s">
        <v>3</v>
      </c>
      <c r="C8">
        <f>+D4</f>
        <v>2.2386029999999999</v>
      </c>
    </row>
    <row r="9" spans="1:6">
      <c r="A9" s="30" t="s">
        <v>47</v>
      </c>
      <c r="B9" s="31">
        <v>21</v>
      </c>
      <c r="C9" s="20" t="str">
        <f>"F"&amp;B9</f>
        <v>F21</v>
      </c>
      <c r="D9" s="10" t="str">
        <f>"G"&amp;B9</f>
        <v>G21</v>
      </c>
    </row>
    <row r="10" spans="1:6" ht="13.5" thickBot="1">
      <c r="A10" s="12"/>
      <c r="B10" s="12"/>
      <c r="C10" s="6" t="s">
        <v>20</v>
      </c>
      <c r="D10" s="6" t="s">
        <v>21</v>
      </c>
      <c r="E10" s="12"/>
    </row>
    <row r="11" spans="1:6">
      <c r="A11" s="12" t="s">
        <v>16</v>
      </c>
      <c r="B11" s="12"/>
      <c r="C11" s="19">
        <f ca="1">INTERCEPT(INDIRECT($D$9):G992,INDIRECT($C$9):F992)</f>
        <v>7.9358501569958551E-2</v>
      </c>
      <c r="D11" s="5"/>
      <c r="E11" s="12"/>
    </row>
    <row r="12" spans="1:6">
      <c r="A12" s="12" t="s">
        <v>17</v>
      </c>
      <c r="B12" s="12"/>
      <c r="C12" s="19">
        <f ca="1">SLOPE(INDIRECT($D$9):G992,INDIRECT($C$9):F992)</f>
        <v>-3.4317273038366517E-5</v>
      </c>
      <c r="D12" s="5"/>
      <c r="E12" s="12"/>
    </row>
    <row r="13" spans="1:6">
      <c r="A13" s="12" t="s">
        <v>19</v>
      </c>
      <c r="B13" s="12"/>
      <c r="C13" s="5" t="s">
        <v>14</v>
      </c>
    </row>
    <row r="14" spans="1:6">
      <c r="A14" s="12"/>
      <c r="B14" s="12"/>
      <c r="C14" s="12"/>
    </row>
    <row r="15" spans="1:6">
      <c r="A15" s="23" t="s">
        <v>18</v>
      </c>
      <c r="B15" s="12"/>
      <c r="C15" s="24">
        <f ca="1">(C7+C11)+(C8+C12)*INT(MAX(F21:F3533))</f>
        <v>56718.361526365145</v>
      </c>
      <c r="E15" s="21" t="s">
        <v>42</v>
      </c>
      <c r="F15" s="18">
        <v>1</v>
      </c>
    </row>
    <row r="16" spans="1:6">
      <c r="A16" s="25" t="s">
        <v>4</v>
      </c>
      <c r="B16" s="12"/>
      <c r="C16" s="26">
        <f ca="1">+C8+C12</f>
        <v>2.2385686827269615</v>
      </c>
      <c r="E16" s="21" t="s">
        <v>43</v>
      </c>
      <c r="F16" s="22">
        <f ca="1">NOW()+15018.5+$C$5/24</f>
        <v>60338.689191782403</v>
      </c>
    </row>
    <row r="17" spans="1:30" ht="13.5" thickBot="1">
      <c r="A17" s="21" t="s">
        <v>37</v>
      </c>
      <c r="B17" s="12"/>
      <c r="C17" s="12">
        <f>COUNT(C21:C2191)</f>
        <v>13</v>
      </c>
      <c r="E17" s="21" t="s">
        <v>44</v>
      </c>
      <c r="F17" s="22">
        <f ca="1">ROUND(2*(F16-$C$7)/$C$8,0)/2+F15</f>
        <v>7670</v>
      </c>
    </row>
    <row r="18" spans="1:30" ht="14.25" thickTop="1" thickBot="1">
      <c r="A18" s="25" t="s">
        <v>5</v>
      </c>
      <c r="B18" s="12"/>
      <c r="C18" s="28">
        <f ca="1">+C15</f>
        <v>56718.361526365145</v>
      </c>
      <c r="D18" s="29">
        <f ca="1">+C16</f>
        <v>2.2385686827269615</v>
      </c>
      <c r="E18" s="21" t="s">
        <v>45</v>
      </c>
      <c r="F18" s="10">
        <f ca="1">ROUND(2*(F16-$C$15)/$C$16,0)/2+F15</f>
        <v>1618.5</v>
      </c>
    </row>
    <row r="19" spans="1:30" ht="13.5" thickTop="1">
      <c r="E19" s="21" t="s">
        <v>46</v>
      </c>
      <c r="F19" s="27">
        <f ca="1">+$C$15+$C$16*F18-15018.5-$C$5/24</f>
        <v>45323.380772692071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59</v>
      </c>
      <c r="I20" s="9" t="s">
        <v>62</v>
      </c>
      <c r="J20" s="9" t="s">
        <v>56</v>
      </c>
      <c r="K20" s="9" t="s">
        <v>54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1" t="s">
        <v>93</v>
      </c>
    </row>
    <row r="21" spans="1:30">
      <c r="A21" t="s">
        <v>12</v>
      </c>
      <c r="C21" s="15">
        <v>43170.464500000002</v>
      </c>
      <c r="D21" s="15" t="s">
        <v>14</v>
      </c>
      <c r="E21">
        <f t="shared" ref="E21:E33" si="0">+(C21-C$7)/C$8</f>
        <v>0</v>
      </c>
      <c r="F21">
        <f t="shared" ref="F21:F33" si="1">ROUND(2*E21,0)/2</f>
        <v>0</v>
      </c>
      <c r="H21" s="10">
        <v>0</v>
      </c>
      <c r="O21">
        <f t="shared" ref="O21:O33" ca="1" si="2">+C$11+C$12*F21</f>
        <v>7.9358501569958551E-2</v>
      </c>
      <c r="Q21" s="2">
        <f t="shared" ref="Q21:Q33" si="3">+C21-15018.5</f>
        <v>28151.964500000002</v>
      </c>
    </row>
    <row r="22" spans="1:30">
      <c r="A22" t="s">
        <v>29</v>
      </c>
      <c r="C22" s="15">
        <v>47159.671000000002</v>
      </c>
      <c r="D22" s="15"/>
      <c r="E22">
        <f t="shared" si="0"/>
        <v>1782.0071267661128</v>
      </c>
      <c r="F22">
        <f t="shared" si="1"/>
        <v>1782</v>
      </c>
      <c r="G22">
        <f>+C22-(C$7+F22*C$8)</f>
        <v>1.5954000002238899E-2</v>
      </c>
      <c r="I22">
        <f>+G22</f>
        <v>1.5954000002238899E-2</v>
      </c>
      <c r="O22">
        <f t="shared" ca="1" si="2"/>
        <v>1.8205121015589416E-2</v>
      </c>
      <c r="Q22" s="2">
        <f t="shared" si="3"/>
        <v>32141.171000000002</v>
      </c>
      <c r="AA22">
        <v>4</v>
      </c>
      <c r="AB22" t="s">
        <v>28</v>
      </c>
      <c r="AD22" t="s">
        <v>30</v>
      </c>
    </row>
    <row r="23" spans="1:30">
      <c r="A23" t="s">
        <v>31</v>
      </c>
      <c r="C23" s="15">
        <v>47524.536999999997</v>
      </c>
      <c r="D23" s="15"/>
      <c r="E23">
        <f t="shared" si="0"/>
        <v>1944.995383281446</v>
      </c>
      <c r="F23">
        <f t="shared" si="1"/>
        <v>1945</v>
      </c>
      <c r="O23">
        <f t="shared" ca="1" si="2"/>
        <v>1.2611405510335669E-2</v>
      </c>
      <c r="Q23" s="2">
        <f t="shared" si="3"/>
        <v>32506.036999999997</v>
      </c>
      <c r="U23">
        <f>+C23-(C$7+F23*C$8)</f>
        <v>-1.0335000006307382E-2</v>
      </c>
      <c r="AA23">
        <v>6</v>
      </c>
      <c r="AB23" t="s">
        <v>28</v>
      </c>
      <c r="AD23" t="s">
        <v>30</v>
      </c>
    </row>
    <row r="24" spans="1:30">
      <c r="A24" t="s">
        <v>32</v>
      </c>
      <c r="C24" s="15">
        <v>47880.466</v>
      </c>
      <c r="D24" s="15"/>
      <c r="E24">
        <f t="shared" si="0"/>
        <v>2103.9914178619429</v>
      </c>
      <c r="F24">
        <f t="shared" si="1"/>
        <v>2104</v>
      </c>
      <c r="O24">
        <f t="shared" ca="1" si="2"/>
        <v>7.1549590972354027E-3</v>
      </c>
      <c r="Q24" s="2">
        <f t="shared" si="3"/>
        <v>32861.966</v>
      </c>
      <c r="U24">
        <f>+C24-(C$7+F24*C$8)</f>
        <v>-1.9211999999242835E-2</v>
      </c>
      <c r="AA24">
        <v>5</v>
      </c>
      <c r="AB24" t="s">
        <v>28</v>
      </c>
      <c r="AD24" t="s">
        <v>30</v>
      </c>
    </row>
    <row r="25" spans="1:30">
      <c r="A25" t="s">
        <v>35</v>
      </c>
      <c r="C25" s="15">
        <v>49006.495000000003</v>
      </c>
      <c r="D25" s="15">
        <v>4.0000000000000001E-3</v>
      </c>
      <c r="E25">
        <f t="shared" si="0"/>
        <v>2606.9966403154112</v>
      </c>
      <c r="F25">
        <f t="shared" si="1"/>
        <v>2607</v>
      </c>
      <c r="G25">
        <f t="shared" ref="G25:G33" si="4">+C25-(C$7+F25*C$8)</f>
        <v>-7.520999999542255E-3</v>
      </c>
      <c r="K25">
        <f>+G25</f>
        <v>-7.520999999542255E-3</v>
      </c>
      <c r="O25">
        <f t="shared" ca="1" si="2"/>
        <v>-1.0106629241062953E-2</v>
      </c>
      <c r="Q25" s="2">
        <f t="shared" si="3"/>
        <v>33987.995000000003</v>
      </c>
      <c r="R25" t="s">
        <v>54</v>
      </c>
    </row>
    <row r="26" spans="1:30">
      <c r="A26" t="s">
        <v>33</v>
      </c>
      <c r="B26" t="s">
        <v>34</v>
      </c>
      <c r="C26" s="16">
        <v>51193.573100000001</v>
      </c>
      <c r="D26" s="16">
        <v>1.9E-3</v>
      </c>
      <c r="E26">
        <f t="shared" si="0"/>
        <v>3583.9800983023788</v>
      </c>
      <c r="F26">
        <f t="shared" si="1"/>
        <v>3584</v>
      </c>
      <c r="G26">
        <f t="shared" si="4"/>
        <v>-4.4551999999384861E-2</v>
      </c>
      <c r="K26">
        <f>+G26</f>
        <v>-4.4551999999384861E-2</v>
      </c>
      <c r="O26">
        <f t="shared" ca="1" si="2"/>
        <v>-4.363460499954705E-2</v>
      </c>
      <c r="Q26" s="2">
        <f t="shared" si="3"/>
        <v>36175.073100000001</v>
      </c>
      <c r="R26" t="s">
        <v>54</v>
      </c>
    </row>
    <row r="27" spans="1:30">
      <c r="A27" s="13" t="s">
        <v>39</v>
      </c>
      <c r="B27" s="14"/>
      <c r="C27" s="15">
        <v>53443.335599999999</v>
      </c>
      <c r="D27" s="15">
        <v>8.9999999999999998E-4</v>
      </c>
      <c r="E27">
        <f t="shared" si="0"/>
        <v>4588.9651269117376</v>
      </c>
      <c r="F27">
        <f t="shared" si="1"/>
        <v>4589</v>
      </c>
      <c r="G27">
        <f t="shared" si="4"/>
        <v>-7.8067000002192799E-2</v>
      </c>
      <c r="J27">
        <f>+G27</f>
        <v>-7.8067000002192799E-2</v>
      </c>
      <c r="O27">
        <f t="shared" ca="1" si="2"/>
        <v>-7.8123464403105386E-2</v>
      </c>
      <c r="Q27" s="2">
        <f t="shared" si="3"/>
        <v>38424.835599999999</v>
      </c>
      <c r="R27" t="s">
        <v>56</v>
      </c>
    </row>
    <row r="28" spans="1:30">
      <c r="A28" s="32" t="s">
        <v>49</v>
      </c>
      <c r="B28" s="33" t="s">
        <v>34</v>
      </c>
      <c r="C28" s="32">
        <v>55621.465700000001</v>
      </c>
      <c r="D28" s="32">
        <v>2.5000000000000001E-3</v>
      </c>
      <c r="E28">
        <f t="shared" si="0"/>
        <v>5561.9514491850496</v>
      </c>
      <c r="F28">
        <f t="shared" si="1"/>
        <v>5562</v>
      </c>
      <c r="G28">
        <f t="shared" si="4"/>
        <v>-0.10868599999957951</v>
      </c>
      <c r="J28">
        <f>+G28</f>
        <v>-0.10868599999957951</v>
      </c>
      <c r="O28">
        <f t="shared" ca="1" si="2"/>
        <v>-0.11151417106943601</v>
      </c>
      <c r="Q28" s="2">
        <f t="shared" si="3"/>
        <v>40602.965700000001</v>
      </c>
      <c r="R28" t="s">
        <v>56</v>
      </c>
    </row>
    <row r="29" spans="1:30">
      <c r="A29" s="32" t="s">
        <v>48</v>
      </c>
      <c r="B29" s="33" t="s">
        <v>34</v>
      </c>
      <c r="C29" s="32">
        <v>55632.658799999997</v>
      </c>
      <c r="D29" s="32">
        <v>5.9999999999999995E-4</v>
      </c>
      <c r="E29">
        <f t="shared" si="0"/>
        <v>5566.9514871551573</v>
      </c>
      <c r="F29">
        <f t="shared" si="1"/>
        <v>5567</v>
      </c>
      <c r="G29">
        <f t="shared" si="4"/>
        <v>-0.10860100000718376</v>
      </c>
      <c r="K29">
        <f>+G29</f>
        <v>-0.10860100000718376</v>
      </c>
      <c r="O29">
        <f t="shared" ca="1" si="2"/>
        <v>-0.11168575743462786</v>
      </c>
      <c r="Q29" s="2">
        <f t="shared" si="3"/>
        <v>40614.158799999997</v>
      </c>
      <c r="R29" t="s">
        <v>54</v>
      </c>
    </row>
    <row r="30" spans="1:30">
      <c r="A30" s="32" t="s">
        <v>50</v>
      </c>
      <c r="B30" s="33" t="s">
        <v>34</v>
      </c>
      <c r="C30" s="32">
        <v>55934.862500000003</v>
      </c>
      <c r="D30" s="32">
        <v>8.0000000000000004E-4</v>
      </c>
      <c r="E30">
        <f t="shared" si="0"/>
        <v>5701.9480452764519</v>
      </c>
      <c r="F30">
        <f t="shared" si="1"/>
        <v>5702</v>
      </c>
      <c r="G30">
        <f t="shared" si="4"/>
        <v>-0.11630599999625701</v>
      </c>
      <c r="K30">
        <f>+G30</f>
        <v>-0.11630599999625701</v>
      </c>
      <c r="O30">
        <f t="shared" ca="1" si="2"/>
        <v>-0.11631858929480732</v>
      </c>
      <c r="Q30" s="2">
        <f t="shared" si="3"/>
        <v>40916.362500000003</v>
      </c>
      <c r="R30" t="s">
        <v>54</v>
      </c>
    </row>
    <row r="31" spans="1:30">
      <c r="A31" s="34" t="s">
        <v>51</v>
      </c>
      <c r="B31" s="35" t="s">
        <v>34</v>
      </c>
      <c r="C31" s="36">
        <v>56718.359360000002</v>
      </c>
      <c r="D31" s="34">
        <v>2.9999999999999997E-4</v>
      </c>
      <c r="E31">
        <f t="shared" si="0"/>
        <v>6051.9417065017788</v>
      </c>
      <c r="F31">
        <f t="shared" si="1"/>
        <v>6052</v>
      </c>
      <c r="G31">
        <f t="shared" si="4"/>
        <v>-0.13049599999794737</v>
      </c>
      <c r="K31">
        <f>+G31</f>
        <v>-0.13049599999794737</v>
      </c>
      <c r="O31">
        <f t="shared" ca="1" si="2"/>
        <v>-0.12832963485823562</v>
      </c>
      <c r="Q31" s="2">
        <f t="shared" si="3"/>
        <v>41699.859360000002</v>
      </c>
      <c r="R31" t="s">
        <v>54</v>
      </c>
    </row>
    <row r="32" spans="1:30">
      <c r="A32" s="34" t="s">
        <v>51</v>
      </c>
      <c r="B32" s="35" t="s">
        <v>34</v>
      </c>
      <c r="C32" s="36">
        <v>56718.359850000001</v>
      </c>
      <c r="D32" s="34">
        <v>2.9999999999999997E-4</v>
      </c>
      <c r="E32">
        <f t="shared" si="0"/>
        <v>6051.9419253882888</v>
      </c>
      <c r="F32">
        <f t="shared" si="1"/>
        <v>6052</v>
      </c>
      <c r="G32">
        <f t="shared" si="4"/>
        <v>-0.13000599999941187</v>
      </c>
      <c r="K32">
        <f>+G32</f>
        <v>-0.13000599999941187</v>
      </c>
      <c r="O32">
        <f t="shared" ca="1" si="2"/>
        <v>-0.12832963485823562</v>
      </c>
      <c r="Q32" s="2">
        <f t="shared" si="3"/>
        <v>41699.859850000001</v>
      </c>
      <c r="R32" t="s">
        <v>54</v>
      </c>
    </row>
    <row r="33" spans="1:18">
      <c r="A33" s="34" t="s">
        <v>51</v>
      </c>
      <c r="B33" s="35" t="s">
        <v>34</v>
      </c>
      <c r="C33" s="36">
        <v>56718.359969999998</v>
      </c>
      <c r="D33" s="34">
        <v>2.9999999999999997E-4</v>
      </c>
      <c r="E33">
        <f t="shared" si="0"/>
        <v>6051.9419789931471</v>
      </c>
      <c r="F33">
        <f t="shared" si="1"/>
        <v>6052</v>
      </c>
      <c r="G33">
        <f t="shared" si="4"/>
        <v>-0.12988600000244332</v>
      </c>
      <c r="K33">
        <f>+G33</f>
        <v>-0.12988600000244332</v>
      </c>
      <c r="O33">
        <f t="shared" ca="1" si="2"/>
        <v>-0.12832963485823562</v>
      </c>
      <c r="Q33" s="2">
        <f t="shared" si="3"/>
        <v>41699.859969999998</v>
      </c>
      <c r="R33" t="s">
        <v>54</v>
      </c>
    </row>
    <row r="34" spans="1:18">
      <c r="D34" s="5"/>
    </row>
    <row r="35" spans="1:18">
      <c r="D35" s="5"/>
    </row>
    <row r="36" spans="1:18">
      <c r="D36" s="5"/>
    </row>
    <row r="37" spans="1:18">
      <c r="D37" s="5"/>
    </row>
    <row r="38" spans="1:18">
      <c r="D38" s="5"/>
    </row>
    <row r="39" spans="1:18">
      <c r="D39" s="5"/>
    </row>
    <row r="40" spans="1:18">
      <c r="D40" s="5"/>
    </row>
    <row r="41" spans="1:18">
      <c r="D41" s="5"/>
    </row>
    <row r="42" spans="1:18">
      <c r="D42" s="5"/>
    </row>
    <row r="43" spans="1:18">
      <c r="D43" s="5"/>
    </row>
    <row r="44" spans="1:18">
      <c r="D44" s="5"/>
    </row>
    <row r="45" spans="1:18">
      <c r="D45" s="5"/>
    </row>
    <row r="46" spans="1:18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2"/>
  <sheetViews>
    <sheetView workbookViewId="0">
      <selection activeCell="A11" sqref="A11:IV448"/>
    </sheetView>
  </sheetViews>
  <sheetFormatPr defaultRowHeight="12.75"/>
  <cols>
    <col min="1" max="1" width="19.7109375" style="38" customWidth="1"/>
    <col min="2" max="2" width="4.42578125" style="12" customWidth="1"/>
    <col min="3" max="3" width="12.7109375" style="3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3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52</v>
      </c>
      <c r="I1" s="39" t="s">
        <v>53</v>
      </c>
      <c r="J1" s="40" t="s">
        <v>54</v>
      </c>
    </row>
    <row r="2" spans="1:16">
      <c r="I2" s="41" t="s">
        <v>55</v>
      </c>
      <c r="J2" s="42" t="s">
        <v>56</v>
      </c>
    </row>
    <row r="3" spans="1:16">
      <c r="A3" s="43" t="s">
        <v>57</v>
      </c>
      <c r="I3" s="41" t="s">
        <v>58</v>
      </c>
      <c r="J3" s="42" t="s">
        <v>59</v>
      </c>
    </row>
    <row r="4" spans="1:16">
      <c r="I4" s="41" t="s">
        <v>60</v>
      </c>
      <c r="J4" s="42" t="s">
        <v>59</v>
      </c>
    </row>
    <row r="5" spans="1:16" ht="13.5" thickBot="1">
      <c r="I5" s="44" t="s">
        <v>61</v>
      </c>
      <c r="J5" s="45" t="s">
        <v>62</v>
      </c>
    </row>
    <row r="10" spans="1:16" ht="13.5" thickBot="1"/>
    <row r="11" spans="1:16" ht="12.75" customHeight="1" thickBot="1">
      <c r="A11" s="38" t="str">
        <f>P11</f>
        <v>IBVS 5263 </v>
      </c>
      <c r="B11" s="5" t="str">
        <f>IF(H11=INT(H11),"I","II")</f>
        <v>I</v>
      </c>
      <c r="C11" s="38">
        <f>1*G11</f>
        <v>51193.573100000001</v>
      </c>
      <c r="D11" s="12" t="str">
        <f>VLOOKUP(F11,I$1:J$5,2,FALSE)</f>
        <v>vis</v>
      </c>
      <c r="E11" s="46">
        <f>VLOOKUP(C11,Active!C$21:E$973,3,FALSE)</f>
        <v>3583.9800983023788</v>
      </c>
      <c r="F11" s="5" t="s">
        <v>61</v>
      </c>
      <c r="G11" s="12" t="str">
        <f>MID(I11,3,LEN(I11)-3)</f>
        <v>51193.5731</v>
      </c>
      <c r="H11" s="38">
        <f>1*K11</f>
        <v>-1648</v>
      </c>
      <c r="I11" s="47" t="s">
        <v>63</v>
      </c>
      <c r="J11" s="48" t="s">
        <v>64</v>
      </c>
      <c r="K11" s="47">
        <v>-1648</v>
      </c>
      <c r="L11" s="47" t="s">
        <v>65</v>
      </c>
      <c r="M11" s="48" t="s">
        <v>66</v>
      </c>
      <c r="N11" s="48" t="s">
        <v>67</v>
      </c>
      <c r="O11" s="49" t="s">
        <v>68</v>
      </c>
      <c r="P11" s="50" t="s">
        <v>69</v>
      </c>
    </row>
    <row r="12" spans="1:16" ht="12.75" customHeight="1" thickBot="1">
      <c r="A12" s="38" t="str">
        <f>P12</f>
        <v>BAVM 173 </v>
      </c>
      <c r="B12" s="5" t="str">
        <f>IF(H12=INT(H12),"I","II")</f>
        <v>I</v>
      </c>
      <c r="C12" s="38">
        <f>1*G12</f>
        <v>53443.335599999999</v>
      </c>
      <c r="D12" s="12" t="str">
        <f>VLOOKUP(F12,I$1:J$5,2,FALSE)</f>
        <v>vis</v>
      </c>
      <c r="E12" s="46">
        <f>VLOOKUP(C12,Active!C$21:E$973,3,FALSE)</f>
        <v>4588.9651269117376</v>
      </c>
      <c r="F12" s="5" t="s">
        <v>61</v>
      </c>
      <c r="G12" s="12" t="str">
        <f>MID(I12,3,LEN(I12)-3)</f>
        <v>53443.3356</v>
      </c>
      <c r="H12" s="38">
        <f>1*K12</f>
        <v>-643</v>
      </c>
      <c r="I12" s="47" t="s">
        <v>70</v>
      </c>
      <c r="J12" s="48" t="s">
        <v>71</v>
      </c>
      <c r="K12" s="47">
        <v>-643</v>
      </c>
      <c r="L12" s="47" t="s">
        <v>72</v>
      </c>
      <c r="M12" s="48" t="s">
        <v>66</v>
      </c>
      <c r="N12" s="48" t="s">
        <v>73</v>
      </c>
      <c r="O12" s="49" t="s">
        <v>74</v>
      </c>
      <c r="P12" s="50" t="s">
        <v>75</v>
      </c>
    </row>
    <row r="13" spans="1:16" ht="12.75" customHeight="1" thickBot="1">
      <c r="A13" s="38" t="str">
        <f>P13</f>
        <v>BAVM 220 </v>
      </c>
      <c r="B13" s="5" t="str">
        <f>IF(H13=INT(H13),"I","II")</f>
        <v>I</v>
      </c>
      <c r="C13" s="38">
        <f>1*G13</f>
        <v>55621.465700000001</v>
      </c>
      <c r="D13" s="12" t="str">
        <f>VLOOKUP(F13,I$1:J$5,2,FALSE)</f>
        <v>vis</v>
      </c>
      <c r="E13" s="46">
        <f>VLOOKUP(C13,Active!C$21:E$973,3,FALSE)</f>
        <v>5561.9514491850496</v>
      </c>
      <c r="F13" s="5" t="s">
        <v>61</v>
      </c>
      <c r="G13" s="12" t="str">
        <f>MID(I13,3,LEN(I13)-3)</f>
        <v>55621.4657</v>
      </c>
      <c r="H13" s="38">
        <f>1*K13</f>
        <v>330</v>
      </c>
      <c r="I13" s="47" t="s">
        <v>76</v>
      </c>
      <c r="J13" s="48" t="s">
        <v>77</v>
      </c>
      <c r="K13" s="47" t="s">
        <v>78</v>
      </c>
      <c r="L13" s="47" t="s">
        <v>79</v>
      </c>
      <c r="M13" s="48" t="s">
        <v>80</v>
      </c>
      <c r="N13" s="48" t="s">
        <v>73</v>
      </c>
      <c r="O13" s="49" t="s">
        <v>74</v>
      </c>
      <c r="P13" s="50" t="s">
        <v>81</v>
      </c>
    </row>
    <row r="14" spans="1:16" ht="12.75" customHeight="1" thickBot="1">
      <c r="A14" s="38" t="str">
        <f>P14</f>
        <v>IBVS 5992 </v>
      </c>
      <c r="B14" s="5" t="str">
        <f>IF(H14=INT(H14),"I","II")</f>
        <v>I</v>
      </c>
      <c r="C14" s="38">
        <f>1*G14</f>
        <v>55632.658799999997</v>
      </c>
      <c r="D14" s="12" t="str">
        <f>VLOOKUP(F14,I$1:J$5,2,FALSE)</f>
        <v>vis</v>
      </c>
      <c r="E14" s="46">
        <f>VLOOKUP(C14,Active!C$21:E$973,3,FALSE)</f>
        <v>5566.9514871551573</v>
      </c>
      <c r="F14" s="5" t="s">
        <v>61</v>
      </c>
      <c r="G14" s="12" t="str">
        <f>MID(I14,3,LEN(I14)-3)</f>
        <v>55632.6588</v>
      </c>
      <c r="H14" s="38">
        <f>1*K14</f>
        <v>335</v>
      </c>
      <c r="I14" s="47" t="s">
        <v>82</v>
      </c>
      <c r="J14" s="48" t="s">
        <v>83</v>
      </c>
      <c r="K14" s="47" t="s">
        <v>84</v>
      </c>
      <c r="L14" s="47" t="s">
        <v>85</v>
      </c>
      <c r="M14" s="48" t="s">
        <v>80</v>
      </c>
      <c r="N14" s="48" t="s">
        <v>61</v>
      </c>
      <c r="O14" s="49" t="s">
        <v>86</v>
      </c>
      <c r="P14" s="50" t="s">
        <v>87</v>
      </c>
    </row>
    <row r="15" spans="1:16" ht="12.75" customHeight="1" thickBot="1">
      <c r="A15" s="38" t="str">
        <f>P15</f>
        <v>IBVS 6011 </v>
      </c>
      <c r="B15" s="5" t="str">
        <f>IF(H15=INT(H15),"I","II")</f>
        <v>I</v>
      </c>
      <c r="C15" s="38">
        <f>1*G15</f>
        <v>55934.862500000003</v>
      </c>
      <c r="D15" s="12" t="str">
        <f>VLOOKUP(F15,I$1:J$5,2,FALSE)</f>
        <v>vis</v>
      </c>
      <c r="E15" s="46">
        <f>VLOOKUP(C15,Active!C$21:E$973,3,FALSE)</f>
        <v>5701.9480452764519</v>
      </c>
      <c r="F15" s="5" t="s">
        <v>61</v>
      </c>
      <c r="G15" s="12" t="str">
        <f>MID(I15,3,LEN(I15)-3)</f>
        <v>55934.8625</v>
      </c>
      <c r="H15" s="38">
        <f>1*K15</f>
        <v>470</v>
      </c>
      <c r="I15" s="47" t="s">
        <v>88</v>
      </c>
      <c r="J15" s="48" t="s">
        <v>89</v>
      </c>
      <c r="K15" s="47" t="s">
        <v>90</v>
      </c>
      <c r="L15" s="47" t="s">
        <v>91</v>
      </c>
      <c r="M15" s="48" t="s">
        <v>80</v>
      </c>
      <c r="N15" s="48" t="s">
        <v>61</v>
      </c>
      <c r="O15" s="49" t="s">
        <v>86</v>
      </c>
      <c r="P15" s="50" t="s">
        <v>92</v>
      </c>
    </row>
    <row r="16" spans="1:16">
      <c r="B16" s="5"/>
      <c r="F16" s="5"/>
    </row>
    <row r="17" spans="2:6">
      <c r="B17" s="5"/>
      <c r="F17" s="5"/>
    </row>
    <row r="18" spans="2:6">
      <c r="B18" s="5"/>
      <c r="F18" s="5"/>
    </row>
    <row r="19" spans="2:6">
      <c r="B19" s="5"/>
      <c r="F19" s="5"/>
    </row>
    <row r="20" spans="2:6">
      <c r="B20" s="5"/>
      <c r="F20" s="5"/>
    </row>
    <row r="21" spans="2:6">
      <c r="B21" s="5"/>
      <c r="F21" s="5"/>
    </row>
    <row r="22" spans="2:6">
      <c r="B22" s="5"/>
      <c r="F22" s="5"/>
    </row>
    <row r="23" spans="2:6">
      <c r="B23" s="5"/>
      <c r="F23" s="5"/>
    </row>
    <row r="24" spans="2:6">
      <c r="B24" s="5"/>
      <c r="F24" s="5"/>
    </row>
    <row r="25" spans="2:6">
      <c r="B25" s="5"/>
      <c r="F25" s="5"/>
    </row>
    <row r="26" spans="2:6">
      <c r="B26" s="5"/>
      <c r="F26" s="5"/>
    </row>
    <row r="27" spans="2:6">
      <c r="B27" s="5"/>
      <c r="F27" s="5"/>
    </row>
    <row r="28" spans="2:6">
      <c r="B28" s="5"/>
      <c r="F28" s="5"/>
    </row>
    <row r="29" spans="2:6">
      <c r="B29" s="5"/>
      <c r="F29" s="5"/>
    </row>
    <row r="30" spans="2:6">
      <c r="B30" s="5"/>
      <c r="F30" s="5"/>
    </row>
    <row r="31" spans="2:6">
      <c r="B31" s="5"/>
      <c r="F31" s="5"/>
    </row>
    <row r="32" spans="2: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</sheetData>
  <phoneticPr fontId="7" type="noConversion"/>
  <hyperlinks>
    <hyperlink ref="P11" r:id="rId1" display="http://www.konkoly.hu/cgi-bin/IBVS?5263"/>
    <hyperlink ref="P12" r:id="rId2" display="http://www.bav-astro.de/sfs/BAVM_link.php?BAVMnr=173"/>
    <hyperlink ref="P13" r:id="rId3" display="http://www.bav-astro.de/sfs/BAVM_link.php?BAVMnr=220"/>
    <hyperlink ref="P14" r:id="rId4" display="http://www.konkoly.hu/cgi-bin/IBVS?5992"/>
    <hyperlink ref="P15" r:id="rId5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2024-01-29T03:32:26Z</dcterms:modified>
</cp:coreProperties>
</file>