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CF8604-574B-48B9-93FB-703D12D9AC1A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17" i="1" l="1"/>
  <c r="F16" i="1"/>
  <c r="F17" i="1" s="1"/>
  <c r="D9" i="1"/>
  <c r="C9" i="1"/>
  <c r="Q23" i="1"/>
  <c r="Q27" i="1"/>
  <c r="Q43" i="1"/>
  <c r="G32" i="2"/>
  <c r="C32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31" i="2"/>
  <c r="C31" i="2"/>
  <c r="E31" i="2"/>
  <c r="G14" i="2"/>
  <c r="C14" i="2"/>
  <c r="G13" i="2"/>
  <c r="C13" i="2"/>
  <c r="G12" i="2"/>
  <c r="C12" i="2"/>
  <c r="G11" i="2"/>
  <c r="C11" i="2"/>
  <c r="G30" i="2"/>
  <c r="C30" i="2"/>
  <c r="H32" i="2"/>
  <c r="D32" i="2"/>
  <c r="B32" i="2"/>
  <c r="A32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31" i="2"/>
  <c r="D31" i="2"/>
  <c r="B31" i="2"/>
  <c r="A31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0" i="2"/>
  <c r="B30" i="2"/>
  <c r="D30" i="2"/>
  <c r="A30" i="2"/>
  <c r="Q22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C7" i="1"/>
  <c r="E27" i="1"/>
  <c r="F27" i="1"/>
  <c r="C8" i="1"/>
  <c r="Q21" i="1"/>
  <c r="E14" i="2"/>
  <c r="E24" i="2"/>
  <c r="E30" i="2"/>
  <c r="E27" i="2"/>
  <c r="E16" i="2"/>
  <c r="E40" i="1"/>
  <c r="F40" i="1"/>
  <c r="E32" i="1"/>
  <c r="F32" i="1"/>
  <c r="G32" i="1"/>
  <c r="I32" i="1"/>
  <c r="G26" i="1"/>
  <c r="I26" i="1"/>
  <c r="E24" i="1"/>
  <c r="F24" i="1"/>
  <c r="E37" i="1"/>
  <c r="F37" i="1"/>
  <c r="E29" i="1"/>
  <c r="F29" i="1"/>
  <c r="G23" i="1"/>
  <c r="I23" i="1"/>
  <c r="E42" i="1"/>
  <c r="F42" i="1"/>
  <c r="G42" i="1"/>
  <c r="I42" i="1"/>
  <c r="E34" i="1"/>
  <c r="F34" i="1"/>
  <c r="G34" i="1"/>
  <c r="I34" i="1"/>
  <c r="E26" i="1"/>
  <c r="F26" i="1"/>
  <c r="E39" i="1"/>
  <c r="F39" i="1"/>
  <c r="G39" i="1"/>
  <c r="I39" i="1"/>
  <c r="G33" i="1"/>
  <c r="I33" i="1"/>
  <c r="E31" i="1"/>
  <c r="E23" i="1"/>
  <c r="F23" i="1"/>
  <c r="E21" i="1"/>
  <c r="F21" i="1"/>
  <c r="G21" i="1"/>
  <c r="E36" i="1"/>
  <c r="F36" i="1"/>
  <c r="G36" i="1"/>
  <c r="I36" i="1"/>
  <c r="G30" i="1"/>
  <c r="I30" i="1"/>
  <c r="E28" i="1"/>
  <c r="F28" i="1"/>
  <c r="G28" i="1"/>
  <c r="I28" i="1"/>
  <c r="E41" i="1"/>
  <c r="F41" i="1"/>
  <c r="G41" i="1"/>
  <c r="I41" i="1"/>
  <c r="E33" i="1"/>
  <c r="F33" i="1"/>
  <c r="G27" i="1"/>
  <c r="I27" i="1"/>
  <c r="E25" i="1"/>
  <c r="F25" i="1"/>
  <c r="G25" i="1"/>
  <c r="I25" i="1"/>
  <c r="G40" i="1"/>
  <c r="I40" i="1"/>
  <c r="E38" i="1"/>
  <c r="F38" i="1"/>
  <c r="G38" i="1"/>
  <c r="I38" i="1"/>
  <c r="E30" i="1"/>
  <c r="F30" i="1"/>
  <c r="G24" i="1"/>
  <c r="I24" i="1"/>
  <c r="E22" i="1"/>
  <c r="E43" i="1"/>
  <c r="F43" i="1"/>
  <c r="G43" i="1"/>
  <c r="I43" i="1"/>
  <c r="G37" i="1"/>
  <c r="I37" i="1"/>
  <c r="E35" i="1"/>
  <c r="F35" i="1"/>
  <c r="G35" i="1"/>
  <c r="I35" i="1"/>
  <c r="G29" i="1"/>
  <c r="I29" i="1"/>
  <c r="E26" i="2"/>
  <c r="F22" i="1"/>
  <c r="G22" i="1"/>
  <c r="E11" i="2"/>
  <c r="E21" i="2"/>
  <c r="E13" i="2"/>
  <c r="E32" i="2"/>
  <c r="E12" i="2"/>
  <c r="H21" i="1"/>
  <c r="E17" i="2"/>
  <c r="E19" i="2"/>
  <c r="E25" i="2"/>
  <c r="E29" i="2"/>
  <c r="E20" i="2"/>
  <c r="E23" i="2"/>
  <c r="E18" i="2"/>
  <c r="F31" i="1"/>
  <c r="G31" i="1"/>
  <c r="I31" i="1"/>
  <c r="E28" i="2"/>
  <c r="E15" i="2"/>
  <c r="E22" i="2"/>
  <c r="I22" i="1"/>
  <c r="C12" i="1"/>
  <c r="C11" i="1"/>
  <c r="O36" i="1" l="1"/>
  <c r="O42" i="1"/>
  <c r="O31" i="1"/>
  <c r="O43" i="1"/>
  <c r="O39" i="1"/>
  <c r="O24" i="1"/>
  <c r="O21" i="1"/>
  <c r="O29" i="1"/>
  <c r="O40" i="1"/>
  <c r="O35" i="1"/>
  <c r="O27" i="1"/>
  <c r="O25" i="1"/>
  <c r="O34" i="1"/>
  <c r="C15" i="1"/>
  <c r="O30" i="1"/>
  <c r="O22" i="1"/>
  <c r="O33" i="1"/>
  <c r="O38" i="1"/>
  <c r="O28" i="1"/>
  <c r="O37" i="1"/>
  <c r="O23" i="1"/>
  <c r="O32" i="1"/>
  <c r="O41" i="1"/>
  <c r="O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<sst xmlns="http://schemas.openxmlformats.org/spreadsheetml/2006/main" count="276" uniqueCount="133">
  <si>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</si>
  <si>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</si>
  <si>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</si>
  <si>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</si>
  <si>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</si>
  <si>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</si>
  <si>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</si>
  <si>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</si>
  <si>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</si>
  <si>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</si>
  <si>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</si>
  <si>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</si>
  <si>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</si>
  <si>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</si>
  <si>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</si>
  <si>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</si>
  <si>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</si>
  <si>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</si>
  <si>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</si>
  <si>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</si>
  <si>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</si>
  <si>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</si>
  <si>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</si>
  <si>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</si>
  <si>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</si>
  <si>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</si>
  <si>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</si>
  <si>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</si>
  <si>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</si>
  <si>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pg</t>
  </si>
  <si>
    <t>BAV-M 86</t>
  </si>
  <si>
    <t>K</t>
  </si>
  <si>
    <t>v</t>
  </si>
  <si>
    <t>UZ Cnc / gsc 1384-1908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</si>
  <si>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</si>
  <si>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</si>
  <si>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</si>
  <si>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</si>
  <si>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</si>
  <si>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</si>
  <si>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</si>
  <si>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</si>
  <si>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</si>
  <si>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</si>
  <si>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2425347.31 </t>
  </si>
  <si>
    <t> 10.04.1928 19:26 </t>
  </si>
  <si>
    <t> -0.10 </t>
  </si>
  <si>
    <t>V </t>
  </si>
  <si>
    <t> N.E.Kurochkin </t>
  </si>
  <si>
    <t> PZ 6.303 </t>
  </si>
  <si>
    <t>2431149.20 </t>
  </si>
  <si>
    <t> 28.02.1944 16:48 </t>
  </si>
  <si>
    <t> -0.46 </t>
  </si>
  <si>
    <t> W.Zessewitsch </t>
  </si>
  <si>
    <t> IODE 4.1.142 </t>
  </si>
  <si>
    <t>2431161.10 </t>
  </si>
  <si>
    <t> 11.03.1944 14:24 </t>
  </si>
  <si>
    <t> -0.15 </t>
  </si>
  <si>
    <t>2431207.20 </t>
  </si>
  <si>
    <t> 26.04.1944 16:48 </t>
  </si>
  <si>
    <t> -0.37 </t>
  </si>
  <si>
    <t>2431219.30 </t>
  </si>
  <si>
    <t> 08.05.1944 19:12 </t>
  </si>
  <si>
    <t> 0.15 </t>
  </si>
  <si>
    <t>2431230.10 </t>
  </si>
  <si>
    <t> 19.05.1944 14:24 </t>
  </si>
  <si>
    <t> -0.63 </t>
  </si>
  <si>
    <t>2435550.620 </t>
  </si>
  <si>
    <t> 18.03.1956 02:52 </t>
  </si>
  <si>
    <t> 0.044 </t>
  </si>
  <si>
    <t> R.Szafraniec </t>
  </si>
  <si>
    <t> AA 7.188 </t>
  </si>
  <si>
    <t>2435874.680 </t>
  </si>
  <si>
    <t> 05.02.1957 04:19 </t>
  </si>
  <si>
    <t> -0.174 </t>
  </si>
  <si>
    <t> AA 8.189 </t>
  </si>
  <si>
    <t>2436245.394 </t>
  </si>
  <si>
    <t> 10.02.1958 21:27 </t>
  </si>
  <si>
    <t> -0.063 </t>
  </si>
  <si>
    <t>P </t>
  </si>
  <si>
    <t> T.Berthold </t>
  </si>
  <si>
    <t>BAVM 86 </t>
  </si>
  <si>
    <t>2436604.398 </t>
  </si>
  <si>
    <t> 04.02.1959 21:33 </t>
  </si>
  <si>
    <t> -0.081 </t>
  </si>
  <si>
    <t>2436662.385 </t>
  </si>
  <si>
    <t> 03.04.1959 21:14 </t>
  </si>
  <si>
    <t> -0.000 </t>
  </si>
  <si>
    <t>2438318.626 </t>
  </si>
  <si>
    <t> 16.10.1963 03:01 </t>
  </si>
  <si>
    <t> 0.108 </t>
  </si>
  <si>
    <t>2438457.339 </t>
  </si>
  <si>
    <t> 02.03.1964 20:08 </t>
  </si>
  <si>
    <t> -0.155 </t>
  </si>
  <si>
    <t>2440287.330 </t>
  </si>
  <si>
    <t> 06.03.1969 19:55 </t>
  </si>
  <si>
    <t> -0.017 </t>
  </si>
  <si>
    <t>2440924.544 </t>
  </si>
  <si>
    <t> 04.12.1970 01:03 </t>
  </si>
  <si>
    <t> 0.223 </t>
  </si>
  <si>
    <t>2442858.338 </t>
  </si>
  <si>
    <t> 20.03.1976 20:06 </t>
  </si>
  <si>
    <t> -0.068 </t>
  </si>
  <si>
    <t>2443078.507 </t>
  </si>
  <si>
    <t> 27.10.1976 00:10 </t>
  </si>
  <si>
    <t> 0.056 </t>
  </si>
  <si>
    <t>2443217.373 </t>
  </si>
  <si>
    <t> 14.03.1977 20:57 </t>
  </si>
  <si>
    <t> -0.054 </t>
  </si>
  <si>
    <t>2446147.384 </t>
  </si>
  <si>
    <t> 22.03.1985 21:12 </t>
  </si>
  <si>
    <t> -0.124 </t>
  </si>
  <si>
    <t>2447861.549 </t>
  </si>
  <si>
    <t> 01.12.1989 01:10 </t>
  </si>
  <si>
    <t> 0.002 </t>
  </si>
  <si>
    <t>2449031.382 </t>
  </si>
  <si>
    <t> 12.02.1993 21:10 </t>
  </si>
  <si>
    <t> 0.119 </t>
  </si>
  <si>
    <t>2453791.19 </t>
  </si>
  <si>
    <t> 24.02.2006 16:33 </t>
  </si>
  <si>
    <t> -0.01 </t>
  </si>
  <si>
    <t> R.Meyer </t>
  </si>
  <si>
    <t>BAVM 192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</si>
  <si>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</si>
  <si>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</si>
  <si>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</si>
  <si>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</si>
  <si>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</si>
  <si>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</si>
  <si>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</si>
  <si>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</si>
  <si>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</si>
  <si>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# of data points: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</si>
</sst>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2" fillId="2" borderId="11" xfId="7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8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Cnc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7D-4A53-B79E-6A9A357FAF69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1">
                  <c:v>-0.36999999999898137</c:v>
                </c:pt>
                <c:pt idx="2">
                  <c:v>7.1500000001833541E-2</c:v>
                </c:pt>
                <c:pt idx="3">
                  <c:v>-5.1500000001396984E-2</c:v>
                </c:pt>
                <c:pt idx="4">
                  <c:v>-0.27750000000014552</c:v>
                </c:pt>
                <c:pt idx="5">
                  <c:v>0.24099999999816646</c:v>
                </c:pt>
                <c:pt idx="6">
                  <c:v>-0.54050000000279397</c:v>
                </c:pt>
                <c:pt idx="7">
                  <c:v>8.000000000174623E-2</c:v>
                </c:pt>
                <c:pt idx="8">
                  <c:v>-0.14199999999982538</c:v>
                </c:pt>
                <c:pt idx="9">
                  <c:v>-3.6000000000058208E-2</c:v>
                </c:pt>
                <c:pt idx="10">
                  <c:v>-5.8499999999185093E-2</c:v>
                </c:pt>
                <c:pt idx="11">
                  <c:v>2.1000000000640284E-2</c:v>
                </c:pt>
                <c:pt idx="12">
                  <c:v>0.10749999999825377</c:v>
                </c:pt>
                <c:pt idx="13">
                  <c:v>-0.15750000000116415</c:v>
                </c:pt>
                <c:pt idx="14">
                  <c:v>-4.3499999999767169E-2</c:v>
                </c:pt>
                <c:pt idx="15">
                  <c:v>0.18800000000192085</c:v>
                </c:pt>
                <c:pt idx="16">
                  <c:v>-0.12849999999889405</c:v>
                </c:pt>
                <c:pt idx="17">
                  <c:v>-8.0000000016298145E-3</c:v>
                </c:pt>
                <c:pt idx="18">
                  <c:v>-0.12000000000261934</c:v>
                </c:pt>
                <c:pt idx="19">
                  <c:v>-0.22850000000471482</c:v>
                </c:pt>
                <c:pt idx="20">
                  <c:v>-0.12550000000192085</c:v>
                </c:pt>
                <c:pt idx="21">
                  <c:v>-2.4000000004889444E-2</c:v>
                </c:pt>
                <c:pt idx="22">
                  <c:v>-0.21249999999417923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7D-4A53-B79E-6A9A357FAF69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7D-4A53-B79E-6A9A357FAF69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7D-4A53-B79E-6A9A357FAF69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7D-4A53-B79E-6A9A357FAF69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7D-4A53-B79E-6A9A357FAF69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6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7D-4A53-B79E-6A9A357FAF69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-380</c:v>
                </c:pt>
                <c:pt idx="2">
                  <c:v>-881</c:v>
                </c:pt>
                <c:pt idx="3">
                  <c:v>-379</c:v>
                </c:pt>
                <c:pt idx="4">
                  <c:v>-375</c:v>
                </c:pt>
                <c:pt idx="5">
                  <c:v>-374</c:v>
                </c:pt>
                <c:pt idx="6">
                  <c:v>-373</c:v>
                </c:pt>
                <c:pt idx="7">
                  <c:v>0</c:v>
                </c:pt>
                <c:pt idx="8">
                  <c:v>28</c:v>
                </c:pt>
                <c:pt idx="9">
                  <c:v>60</c:v>
                </c:pt>
                <c:pt idx="10">
                  <c:v>91</c:v>
                </c:pt>
                <c:pt idx="11">
                  <c:v>96</c:v>
                </c:pt>
                <c:pt idx="12">
                  <c:v>239</c:v>
                </c:pt>
                <c:pt idx="13">
                  <c:v>251</c:v>
                </c:pt>
                <c:pt idx="14">
                  <c:v>409</c:v>
                </c:pt>
                <c:pt idx="15">
                  <c:v>464</c:v>
                </c:pt>
                <c:pt idx="16">
                  <c:v>631</c:v>
                </c:pt>
                <c:pt idx="17">
                  <c:v>650</c:v>
                </c:pt>
                <c:pt idx="18">
                  <c:v>662</c:v>
                </c:pt>
                <c:pt idx="19">
                  <c:v>915</c:v>
                </c:pt>
                <c:pt idx="20">
                  <c:v>1063</c:v>
                </c:pt>
                <c:pt idx="21">
                  <c:v>1164</c:v>
                </c:pt>
                <c:pt idx="22">
                  <c:v>1575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-7.6575332821525441E-2</c:v>
                </c:pt>
                <c:pt idx="1">
                  <c:v>-7.2884655230572179E-2</c:v>
                </c:pt>
                <c:pt idx="2">
                  <c:v>-6.8018788196183802E-2</c:v>
                </c:pt>
                <c:pt idx="3">
                  <c:v>-7.2894367540022056E-2</c:v>
                </c:pt>
                <c:pt idx="4">
                  <c:v>-7.2933216777821566E-2</c:v>
                </c:pt>
                <c:pt idx="5">
                  <c:v>-7.2942929087271444E-2</c:v>
                </c:pt>
                <c:pt idx="6">
                  <c:v>-7.2952641396721321E-2</c:v>
                </c:pt>
                <c:pt idx="7">
                  <c:v>-7.6575332821525441E-2</c:v>
                </c:pt>
                <c:pt idx="8">
                  <c:v>-7.6847277486121995E-2</c:v>
                </c:pt>
                <c:pt idx="9">
                  <c:v>-7.715807138851806E-2</c:v>
                </c:pt>
                <c:pt idx="10">
                  <c:v>-7.7459152981464247E-2</c:v>
                </c:pt>
                <c:pt idx="11">
                  <c:v>-7.7507714528713634E-2</c:v>
                </c:pt>
                <c:pt idx="12">
                  <c:v>-7.8896574780046039E-2</c:v>
                </c:pt>
                <c:pt idx="13">
                  <c:v>-7.9013122493444568E-2</c:v>
                </c:pt>
                <c:pt idx="14">
                  <c:v>-8.0547667386525135E-2</c:v>
                </c:pt>
                <c:pt idx="15">
                  <c:v>-8.1081844406268366E-2</c:v>
                </c:pt>
                <c:pt idx="16">
                  <c:v>-8.270380008439783E-2</c:v>
                </c:pt>
                <c:pt idx="17">
                  <c:v>-8.2888333963945487E-2</c:v>
                </c:pt>
                <c:pt idx="18">
                  <c:v>-8.3004881677344017E-2</c:v>
                </c:pt>
                <c:pt idx="19">
                  <c:v>-8.5462095968162899E-2</c:v>
                </c:pt>
                <c:pt idx="20">
                  <c:v>-8.6899517766744705E-2</c:v>
                </c:pt>
                <c:pt idx="21">
                  <c:v>-8.7880461021182271E-2</c:v>
                </c:pt>
                <c:pt idx="22">
                  <c:v>-9.187222020508172E-2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7D-4A53-B79E-6A9A357FA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150208"/>
        <c:axId val="1"/>
      </c:scatterChart>
      <c:valAx>
        <c:axId val="79015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150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90104336131537"/>
          <c:y val="0.91874999999999996"/>
          <c:w val="0.8636372312965011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0</xdr:rowOff>
    </xdr:from>
    <xdr:to>
      <xdr:col>17</xdr:col>
      <xdr:colOff>561974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96C8DA-E025-9983-F807-A37CB5D16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86" TargetMode="External"/><Relationship Id="rId13" Type="http://schemas.openxmlformats.org/officeDocument/2006/relationships/hyperlink" Target="http://www.bav-astro.de/sfs/BAVM_link.php?BAVMnr=86" TargetMode="External"/><Relationship Id="rId3" Type="http://schemas.openxmlformats.org/officeDocument/2006/relationships/hyperlink" Target="http://www.bav-astro.de/sfs/BAVM_link.php?BAVMnr=86" TargetMode="External"/><Relationship Id="rId7" Type="http://schemas.openxmlformats.org/officeDocument/2006/relationships/hyperlink" Target="http://www.bav-astro.de/sfs/BAVM_link.php?BAVMnr=86" TargetMode="External"/><Relationship Id="rId12" Type="http://schemas.openxmlformats.org/officeDocument/2006/relationships/hyperlink" Target="http://www.bav-astro.de/sfs/BAVM_link.php?BAVMnr=86" TargetMode="External"/><Relationship Id="rId2" Type="http://schemas.openxmlformats.org/officeDocument/2006/relationships/hyperlink" Target="http://www.bav-astro.de/sfs/BAVM_link.php?BAVMnr=86" TargetMode="External"/><Relationship Id="rId1" Type="http://schemas.openxmlformats.org/officeDocument/2006/relationships/hyperlink" Target="http://www.bav-astro.de/sfs/BAVM_link.php?BAVMnr=86" TargetMode="External"/><Relationship Id="rId6" Type="http://schemas.openxmlformats.org/officeDocument/2006/relationships/hyperlink" Target="http://www.bav-astro.de/sfs/BAVM_link.php?BAVMnr=86" TargetMode="External"/><Relationship Id="rId11" Type="http://schemas.openxmlformats.org/officeDocument/2006/relationships/hyperlink" Target="http://www.bav-astro.de/sfs/BAVM_link.php?BAVMnr=86" TargetMode="External"/><Relationship Id="rId5" Type="http://schemas.openxmlformats.org/officeDocument/2006/relationships/hyperlink" Target="http://www.bav-astro.de/sfs/BAVM_link.php?BAVMnr=86" TargetMode="External"/><Relationship Id="rId10" Type="http://schemas.openxmlformats.org/officeDocument/2006/relationships/hyperlink" Target="http://www.bav-astro.de/sfs/BAVM_link.php?BAVMnr=86" TargetMode="External"/><Relationship Id="rId4" Type="http://schemas.openxmlformats.org/officeDocument/2006/relationships/hyperlink" Target="http://www.bav-astro.de/sfs/BAVM_link.php?BAVMnr=86" TargetMode="External"/><Relationship Id="rId9" Type="http://schemas.openxmlformats.org/officeDocument/2006/relationships/hyperlink" Target="http://www.bav-astro.de/sfs/BAVM_link.php?BAVMnr=86" TargetMode="External"/><Relationship Id="rId1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</v>
      </c>
    </row>
    <row r="2" spans="1:6">
      <c r="A2" t="s">
        <v>25</v>
      </c>
    </row>
    <row r="4" spans="1:6">
      <c r="A4" s="8" t="s">
        <v>0</v>
      </c>
      <c r="C4" s="3">
        <v>35550.54</v>
      </c>
      <c r="D4" s="4">
        <v>11.5815</v>
      </c>
    </row>
    <row r="5" spans="1:6">
      <c r="A5" s="33" t="s">
        <v>124</v>
      </c>
      <c r="B5" s="14"/>
      <c r="C5" s="34">
        <v>-9.5</v>
      </c>
      <c r="D5" s="14" t="s">
        <v>125</v>
      </c>
    </row>
    <row r="6" spans="1:6">
      <c r="A6" s="8" t="s">
        <v>1</v>
      </c>
    </row>
    <row r="7" spans="1:6">
      <c r="A7" t="s">
        <v>2</v>
      </c>
      <c r="C7">
        <f>+C4</f>
        <v>35550.54</v>
      </c>
    </row>
    <row r="8" spans="1:6">
      <c r="A8" t="s">
        <v>3</v>
      </c>
      <c r="C8">
        <f>+D4</f>
        <v>11.5815</v>
      </c>
    </row>
    <row r="9" spans="1:6">
      <c r="A9" s="35" t="s">
        <v>126</v>
      </c>
      <c r="B9" s="36">
        <v>21</v>
      </c>
      <c r="C9" s="37" t="str">
        <f>"F"&amp;B9</f>
        <v>F21</v>
      </c>
      <c r="D9" s="38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9">
        <f ca="1">INTERCEPT(INDIRECT($D$9):G978,INDIRECT($C$9):F978)</f>
        <v>-7.6575332821525441E-2</v>
      </c>
      <c r="D11" s="6"/>
    </row>
    <row r="12" spans="1:6">
      <c r="A12" t="s">
        <v>17</v>
      </c>
      <c r="C12" s="39">
        <f ca="1">SLOPE(INDIRECT($D$9):G978,INDIRECT($C$9):F978)</f>
        <v>-9.7123094498770061E-6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53791.310627779792</v>
      </c>
      <c r="E15" s="40" t="s">
        <v>127</v>
      </c>
      <c r="F15" s="34">
        <v>1</v>
      </c>
    </row>
    <row r="16" spans="1:6">
      <c r="A16" s="8" t="s">
        <v>4</v>
      </c>
      <c r="C16" s="12">
        <f ca="1">+C8+C12</f>
        <v>11.581490287690551</v>
      </c>
      <c r="E16" s="40" t="s">
        <v>128</v>
      </c>
      <c r="F16" s="41">
        <f ca="1">NOW()+15018.5+$C$5/24</f>
        <v>60338.736222916661</v>
      </c>
    </row>
    <row r="17" spans="1:29" ht="13.5" thickBot="1">
      <c r="A17" s="40" t="s">
        <v>132</v>
      </c>
      <c r="B17" s="14"/>
      <c r="C17" s="14">
        <f>COUNT(C21:C2177)</f>
        <v>23</v>
      </c>
      <c r="E17" s="40" t="s">
        <v>129</v>
      </c>
      <c r="F17" s="41">
        <f ca="1">ROUND(2*(F16-$C$7)/$C$8,0)/2+F15</f>
        <v>2141.5</v>
      </c>
    </row>
    <row r="18" spans="1:29">
      <c r="A18" s="8" t="s">
        <v>5</v>
      </c>
      <c r="C18" s="3">
        <f ca="1">+C15</f>
        <v>53791.310627779792</v>
      </c>
      <c r="D18" s="4">
        <f ca="1">+C16</f>
        <v>11.581490287690551</v>
      </c>
      <c r="E18" s="40" t="s">
        <v>130</v>
      </c>
      <c r="F18" s="38">
        <f ca="1">ROUND(2*(F16-$C$15)/$C$16,0)/2+F15</f>
        <v>566.5</v>
      </c>
    </row>
    <row r="19" spans="1:29" ht="13.5" thickTop="1">
      <c r="E19" s="40" t="s">
        <v>131</v>
      </c>
      <c r="F19" s="42">
        <f ca="1">+$C$15+$C$16*F18-15018.5-$C$5/24</f>
        <v>45334.120709089824</v>
      </c>
    </row>
    <row r="20" spans="1:29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29</v>
      </c>
      <c r="I20" s="10" t="s">
        <v>43</v>
      </c>
      <c r="J20" s="10" t="s">
        <v>38</v>
      </c>
      <c r="K20" s="10" t="s">
        <v>36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29">
      <c r="A21" t="s">
        <v>12</v>
      </c>
      <c r="C21" s="15">
        <v>35550.54</v>
      </c>
      <c r="D21" s="15" t="s">
        <v>14</v>
      </c>
      <c r="E21">
        <f t="shared" ref="E21:E43" si="0">+(C21-C$7)/C$8</f>
        <v>0</v>
      </c>
      <c r="F21">
        <f t="shared" ref="F21:F43" si="1">ROUND(2*E21,0)/2</f>
        <v>0</v>
      </c>
      <c r="G21">
        <f t="shared" ref="G21:G43" si="2">+C21-(C$7+F21*C$8)</f>
        <v>0</v>
      </c>
      <c r="H21">
        <f>+G21</f>
        <v>0</v>
      </c>
      <c r="O21">
        <f t="shared" ref="O21:O43" ca="1" si="3">+C$11+C$12*F21</f>
        <v>-7.6575332821525441E-2</v>
      </c>
      <c r="Q21" s="2">
        <f t="shared" ref="Q21:Q43" si="4">+C21-15018.5</f>
        <v>20532.04</v>
      </c>
    </row>
    <row r="22" spans="1:29">
      <c r="A22" t="s">
        <v>30</v>
      </c>
      <c r="C22" s="28">
        <v>31149.200000000001</v>
      </c>
      <c r="D22" s="15"/>
      <c r="E22">
        <f t="shared" si="0"/>
        <v>-380.03194750248241</v>
      </c>
      <c r="F22">
        <f t="shared" si="1"/>
        <v>-380</v>
      </c>
      <c r="G22">
        <f t="shared" si="2"/>
        <v>-0.36999999999898137</v>
      </c>
      <c r="I22">
        <f t="shared" ref="I22:I43" si="5">+G22</f>
        <v>-0.36999999999898137</v>
      </c>
      <c r="O22">
        <f t="shared" ca="1" si="3"/>
        <v>-7.2884655230572179E-2</v>
      </c>
      <c r="Q22" s="2">
        <f t="shared" si="4"/>
        <v>16130.7</v>
      </c>
      <c r="AA22" t="s">
        <v>29</v>
      </c>
      <c r="AC22" t="s">
        <v>31</v>
      </c>
    </row>
    <row r="23" spans="1:29">
      <c r="A23" s="29" t="s">
        <v>49</v>
      </c>
      <c r="B23" s="30" t="s">
        <v>123</v>
      </c>
      <c r="C23" s="31">
        <v>25347.31</v>
      </c>
      <c r="D23" s="32" t="s">
        <v>43</v>
      </c>
      <c r="E23">
        <f t="shared" si="0"/>
        <v>-880.99382636100677</v>
      </c>
      <c r="F23">
        <f t="shared" si="1"/>
        <v>-881</v>
      </c>
      <c r="G23">
        <f t="shared" si="2"/>
        <v>7.1500000001833541E-2</v>
      </c>
      <c r="I23">
        <f t="shared" si="5"/>
        <v>7.1500000001833541E-2</v>
      </c>
      <c r="O23">
        <f t="shared" ca="1" si="3"/>
        <v>-6.8018788196183802E-2</v>
      </c>
      <c r="Q23" s="2">
        <f t="shared" si="4"/>
        <v>10328.810000000001</v>
      </c>
    </row>
    <row r="24" spans="1:29">
      <c r="A24" t="s">
        <v>30</v>
      </c>
      <c r="C24" s="28">
        <v>31161.1</v>
      </c>
      <c r="D24" s="15"/>
      <c r="E24">
        <f t="shared" si="0"/>
        <v>-379.00444674696735</v>
      </c>
      <c r="F24">
        <f t="shared" si="1"/>
        <v>-379</v>
      </c>
      <c r="G24">
        <f t="shared" si="2"/>
        <v>-5.1500000001396984E-2</v>
      </c>
      <c r="I24">
        <f t="shared" si="5"/>
        <v>-5.1500000001396984E-2</v>
      </c>
      <c r="O24">
        <f t="shared" ca="1" si="3"/>
        <v>-7.2894367540022056E-2</v>
      </c>
      <c r="Q24" s="2">
        <f t="shared" si="4"/>
        <v>16142.599999999999</v>
      </c>
      <c r="AA24" t="s">
        <v>29</v>
      </c>
      <c r="AC24" t="s">
        <v>31</v>
      </c>
    </row>
    <row r="25" spans="1:29">
      <c r="A25" t="s">
        <v>30</v>
      </c>
      <c r="C25" s="28">
        <v>31207.200000000001</v>
      </c>
      <c r="D25" s="15"/>
      <c r="E25">
        <f t="shared" si="0"/>
        <v>-375.02396062686182</v>
      </c>
      <c r="F25">
        <f t="shared" si="1"/>
        <v>-375</v>
      </c>
      <c r="G25">
        <f t="shared" si="2"/>
        <v>-0.27750000000014552</v>
      </c>
      <c r="I25">
        <f t="shared" si="5"/>
        <v>-0.27750000000014552</v>
      </c>
      <c r="O25">
        <f t="shared" ca="1" si="3"/>
        <v>-7.2933216777821566E-2</v>
      </c>
      <c r="Q25" s="2">
        <f t="shared" si="4"/>
        <v>16188.7</v>
      </c>
      <c r="AA25" t="s">
        <v>29</v>
      </c>
      <c r="AC25" t="s">
        <v>31</v>
      </c>
    </row>
    <row r="26" spans="1:29">
      <c r="A26" t="s">
        <v>30</v>
      </c>
      <c r="C26" s="28">
        <v>31219.3</v>
      </c>
      <c r="D26" s="15"/>
      <c r="E26">
        <f t="shared" si="0"/>
        <v>-373.97919095108591</v>
      </c>
      <c r="F26">
        <f t="shared" si="1"/>
        <v>-374</v>
      </c>
      <c r="G26">
        <f t="shared" si="2"/>
        <v>0.24099999999816646</v>
      </c>
      <c r="I26">
        <f t="shared" si="5"/>
        <v>0.24099999999816646</v>
      </c>
      <c r="O26">
        <f t="shared" ca="1" si="3"/>
        <v>-7.2942929087271444E-2</v>
      </c>
      <c r="Q26" s="2">
        <f t="shared" si="4"/>
        <v>16200.8</v>
      </c>
      <c r="AA26" t="s">
        <v>29</v>
      </c>
      <c r="AC26" t="s">
        <v>31</v>
      </c>
    </row>
    <row r="27" spans="1:29">
      <c r="A27" s="29" t="s">
        <v>54</v>
      </c>
      <c r="B27" s="30" t="s">
        <v>123</v>
      </c>
      <c r="C27" s="32">
        <v>31230.1</v>
      </c>
      <c r="D27" s="32" t="s">
        <v>43</v>
      </c>
      <c r="E27">
        <f t="shared" si="0"/>
        <v>-373.04666925700491</v>
      </c>
      <c r="F27">
        <f t="shared" si="1"/>
        <v>-373</v>
      </c>
      <c r="G27">
        <f t="shared" si="2"/>
        <v>-0.54050000000279397</v>
      </c>
      <c r="I27">
        <f t="shared" si="5"/>
        <v>-0.54050000000279397</v>
      </c>
      <c r="O27">
        <f t="shared" ca="1" si="3"/>
        <v>-7.2952641396721321E-2</v>
      </c>
      <c r="Q27" s="2">
        <f t="shared" si="4"/>
        <v>16211.599999999999</v>
      </c>
    </row>
    <row r="28" spans="1:29">
      <c r="A28" t="s">
        <v>30</v>
      </c>
      <c r="C28" s="28">
        <v>35550.620000000003</v>
      </c>
      <c r="D28" s="15"/>
      <c r="E28">
        <f t="shared" si="0"/>
        <v>6.9075681044550559E-3</v>
      </c>
      <c r="F28">
        <f t="shared" si="1"/>
        <v>0</v>
      </c>
      <c r="G28">
        <f t="shared" si="2"/>
        <v>8.000000000174623E-2</v>
      </c>
      <c r="I28">
        <f t="shared" si="5"/>
        <v>8.000000000174623E-2</v>
      </c>
      <c r="O28">
        <f t="shared" ca="1" si="3"/>
        <v>-7.6575332821525441E-2</v>
      </c>
      <c r="Q28" s="2">
        <f t="shared" si="4"/>
        <v>20532.120000000003</v>
      </c>
      <c r="AA28" t="s">
        <v>32</v>
      </c>
      <c r="AC28" t="s">
        <v>31</v>
      </c>
    </row>
    <row r="29" spans="1:29">
      <c r="A29" t="s">
        <v>30</v>
      </c>
      <c r="C29" s="28">
        <v>35874.68</v>
      </c>
      <c r="D29" s="15"/>
      <c r="E29">
        <f t="shared" si="0"/>
        <v>27.987739066614811</v>
      </c>
      <c r="F29">
        <f t="shared" si="1"/>
        <v>28</v>
      </c>
      <c r="G29">
        <f t="shared" si="2"/>
        <v>-0.14199999999982538</v>
      </c>
      <c r="I29">
        <f t="shared" si="5"/>
        <v>-0.14199999999982538</v>
      </c>
      <c r="O29">
        <f t="shared" ca="1" si="3"/>
        <v>-7.6847277486121995E-2</v>
      </c>
      <c r="Q29" s="2">
        <f t="shared" si="4"/>
        <v>20856.18</v>
      </c>
      <c r="AA29" t="s">
        <v>32</v>
      </c>
      <c r="AC29" t="s">
        <v>31</v>
      </c>
    </row>
    <row r="30" spans="1:29">
      <c r="A30" t="s">
        <v>30</v>
      </c>
      <c r="C30" s="28">
        <v>36245.394</v>
      </c>
      <c r="D30" s="15"/>
      <c r="E30">
        <f t="shared" si="0"/>
        <v>59.996891594353009</v>
      </c>
      <c r="F30">
        <f t="shared" si="1"/>
        <v>60</v>
      </c>
      <c r="G30">
        <f t="shared" si="2"/>
        <v>-3.6000000000058208E-2</v>
      </c>
      <c r="I30">
        <f t="shared" si="5"/>
        <v>-3.6000000000058208E-2</v>
      </c>
      <c r="O30">
        <f t="shared" ca="1" si="3"/>
        <v>-7.715807138851806E-2</v>
      </c>
      <c r="Q30" s="2">
        <f t="shared" si="4"/>
        <v>21226.894</v>
      </c>
      <c r="AA30" t="s">
        <v>29</v>
      </c>
      <c r="AC30" t="s">
        <v>31</v>
      </c>
    </row>
    <row r="31" spans="1:29">
      <c r="A31" t="s">
        <v>30</v>
      </c>
      <c r="C31" s="28">
        <v>36604.398000000001</v>
      </c>
      <c r="D31" s="15"/>
      <c r="E31">
        <f t="shared" si="0"/>
        <v>90.994948840823739</v>
      </c>
      <c r="F31">
        <f t="shared" si="1"/>
        <v>91</v>
      </c>
      <c r="G31">
        <f t="shared" si="2"/>
        <v>-5.8499999999185093E-2</v>
      </c>
      <c r="I31">
        <f t="shared" si="5"/>
        <v>-5.8499999999185093E-2</v>
      </c>
      <c r="O31">
        <f t="shared" ca="1" si="3"/>
        <v>-7.7459152981464247E-2</v>
      </c>
      <c r="Q31" s="2">
        <f t="shared" si="4"/>
        <v>21585.898000000001</v>
      </c>
      <c r="AA31" t="s">
        <v>29</v>
      </c>
      <c r="AC31" t="s">
        <v>31</v>
      </c>
    </row>
    <row r="32" spans="1:29">
      <c r="A32" t="s">
        <v>30</v>
      </c>
      <c r="C32" s="28">
        <v>36662.385000000002</v>
      </c>
      <c r="D32" s="15"/>
      <c r="E32">
        <f t="shared" si="0"/>
        <v>96.001813236627484</v>
      </c>
      <c r="F32">
        <f t="shared" si="1"/>
        <v>96</v>
      </c>
      <c r="G32">
        <f t="shared" si="2"/>
        <v>2.1000000000640284E-2</v>
      </c>
      <c r="I32">
        <f t="shared" si="5"/>
        <v>2.1000000000640284E-2</v>
      </c>
      <c r="O32">
        <f t="shared" ca="1" si="3"/>
        <v>-7.7507714528713634E-2</v>
      </c>
      <c r="Q32" s="2">
        <f t="shared" si="4"/>
        <v>21643.885000000002</v>
      </c>
      <c r="AA32" t="s">
        <v>29</v>
      </c>
      <c r="AC32" t="s">
        <v>31</v>
      </c>
    </row>
    <row r="33" spans="1:29">
      <c r="A33" t="s">
        <v>30</v>
      </c>
      <c r="C33" s="28">
        <v>38318.625999999997</v>
      </c>
      <c r="D33" s="15"/>
      <c r="E33">
        <f t="shared" si="0"/>
        <v>239.00928204463978</v>
      </c>
      <c r="F33">
        <f t="shared" si="1"/>
        <v>239</v>
      </c>
      <c r="G33">
        <f t="shared" si="2"/>
        <v>0.10749999999825377</v>
      </c>
      <c r="I33">
        <f t="shared" si="5"/>
        <v>0.10749999999825377</v>
      </c>
      <c r="O33">
        <f t="shared" ca="1" si="3"/>
        <v>-7.8896574780046039E-2</v>
      </c>
      <c r="Q33" s="2">
        <f t="shared" si="4"/>
        <v>23300.125999999997</v>
      </c>
      <c r="AA33" t="s">
        <v>29</v>
      </c>
      <c r="AC33" t="s">
        <v>31</v>
      </c>
    </row>
    <row r="34" spans="1:29">
      <c r="A34" t="s">
        <v>30</v>
      </c>
      <c r="C34" s="28">
        <v>38457.339</v>
      </c>
      <c r="D34" s="15"/>
      <c r="E34">
        <f t="shared" si="0"/>
        <v>250.98640072529457</v>
      </c>
      <c r="F34">
        <f t="shared" si="1"/>
        <v>251</v>
      </c>
      <c r="G34">
        <f t="shared" si="2"/>
        <v>-0.15750000000116415</v>
      </c>
      <c r="I34">
        <f t="shared" si="5"/>
        <v>-0.15750000000116415</v>
      </c>
      <c r="O34">
        <f t="shared" ca="1" si="3"/>
        <v>-7.9013122493444568E-2</v>
      </c>
      <c r="Q34" s="2">
        <f t="shared" si="4"/>
        <v>23438.839</v>
      </c>
      <c r="AA34" t="s">
        <v>29</v>
      </c>
      <c r="AC34" t="s">
        <v>31</v>
      </c>
    </row>
    <row r="35" spans="1:29">
      <c r="A35" t="s">
        <v>30</v>
      </c>
      <c r="C35" s="28">
        <v>40287.33</v>
      </c>
      <c r="D35" s="15"/>
      <c r="E35">
        <f t="shared" si="0"/>
        <v>408.99624400984334</v>
      </c>
      <c r="F35">
        <f t="shared" si="1"/>
        <v>409</v>
      </c>
      <c r="G35">
        <f t="shared" si="2"/>
        <v>-4.3499999999767169E-2</v>
      </c>
      <c r="I35">
        <f t="shared" si="5"/>
        <v>-4.3499999999767169E-2</v>
      </c>
      <c r="O35">
        <f t="shared" ca="1" si="3"/>
        <v>-8.0547667386525135E-2</v>
      </c>
      <c r="Q35" s="2">
        <f t="shared" si="4"/>
        <v>25268.83</v>
      </c>
      <c r="AA35" t="s">
        <v>29</v>
      </c>
      <c r="AC35" t="s">
        <v>31</v>
      </c>
    </row>
    <row r="36" spans="1:29">
      <c r="A36" t="s">
        <v>30</v>
      </c>
      <c r="C36" s="28">
        <v>40924.544000000002</v>
      </c>
      <c r="D36" s="15"/>
      <c r="E36">
        <f t="shared" si="0"/>
        <v>464.01623278504519</v>
      </c>
      <c r="F36">
        <f t="shared" si="1"/>
        <v>464</v>
      </c>
      <c r="G36">
        <f t="shared" si="2"/>
        <v>0.18800000000192085</v>
      </c>
      <c r="I36">
        <f t="shared" si="5"/>
        <v>0.18800000000192085</v>
      </c>
      <c r="O36">
        <f t="shared" ca="1" si="3"/>
        <v>-8.1081844406268366E-2</v>
      </c>
      <c r="Q36" s="2">
        <f t="shared" si="4"/>
        <v>25906.044000000002</v>
      </c>
      <c r="AA36" t="s">
        <v>29</v>
      </c>
      <c r="AC36" t="s">
        <v>31</v>
      </c>
    </row>
    <row r="37" spans="1:29">
      <c r="A37" t="s">
        <v>30</v>
      </c>
      <c r="C37" s="28">
        <v>42858.338000000003</v>
      </c>
      <c r="D37" s="15"/>
      <c r="E37">
        <f t="shared" si="0"/>
        <v>630.98890471873267</v>
      </c>
      <c r="F37">
        <f t="shared" si="1"/>
        <v>631</v>
      </c>
      <c r="G37">
        <f t="shared" si="2"/>
        <v>-0.12849999999889405</v>
      </c>
      <c r="I37">
        <f t="shared" si="5"/>
        <v>-0.12849999999889405</v>
      </c>
      <c r="O37">
        <f t="shared" ca="1" si="3"/>
        <v>-8.270380008439783E-2</v>
      </c>
      <c r="Q37" s="2">
        <f t="shared" si="4"/>
        <v>27839.838000000003</v>
      </c>
      <c r="AA37" t="s">
        <v>29</v>
      </c>
      <c r="AC37" t="s">
        <v>31</v>
      </c>
    </row>
    <row r="38" spans="1:29">
      <c r="A38" t="s">
        <v>30</v>
      </c>
      <c r="C38" s="28">
        <v>43078.506999999998</v>
      </c>
      <c r="D38" s="15"/>
      <c r="E38">
        <f t="shared" si="0"/>
        <v>649.99930924318926</v>
      </c>
      <c r="F38">
        <f t="shared" si="1"/>
        <v>650</v>
      </c>
      <c r="G38">
        <f t="shared" si="2"/>
        <v>-8.0000000016298145E-3</v>
      </c>
      <c r="I38">
        <f t="shared" si="5"/>
        <v>-8.0000000016298145E-3</v>
      </c>
      <c r="O38">
        <f t="shared" ca="1" si="3"/>
        <v>-8.2888333963945487E-2</v>
      </c>
      <c r="Q38" s="2">
        <f t="shared" si="4"/>
        <v>28060.006999999998</v>
      </c>
      <c r="AA38" t="s">
        <v>29</v>
      </c>
      <c r="AC38" t="s">
        <v>31</v>
      </c>
    </row>
    <row r="39" spans="1:29">
      <c r="A39" t="s">
        <v>30</v>
      </c>
      <c r="C39" s="28">
        <v>43217.373</v>
      </c>
      <c r="D39" s="15"/>
      <c r="E39">
        <f t="shared" si="0"/>
        <v>661.98963864784344</v>
      </c>
      <c r="F39">
        <f t="shared" si="1"/>
        <v>662</v>
      </c>
      <c r="G39">
        <f t="shared" si="2"/>
        <v>-0.12000000000261934</v>
      </c>
      <c r="I39">
        <f t="shared" si="5"/>
        <v>-0.12000000000261934</v>
      </c>
      <c r="O39">
        <f t="shared" ca="1" si="3"/>
        <v>-8.3004881677344017E-2</v>
      </c>
      <c r="Q39" s="2">
        <f t="shared" si="4"/>
        <v>28198.873</v>
      </c>
      <c r="AA39" t="s">
        <v>29</v>
      </c>
      <c r="AC39" t="s">
        <v>31</v>
      </c>
    </row>
    <row r="40" spans="1:29">
      <c r="A40" t="s">
        <v>30</v>
      </c>
      <c r="C40" s="28">
        <v>46147.383999999998</v>
      </c>
      <c r="D40" s="15"/>
      <c r="E40">
        <f t="shared" si="0"/>
        <v>914.98027025860188</v>
      </c>
      <c r="F40">
        <f t="shared" si="1"/>
        <v>915</v>
      </c>
      <c r="G40">
        <f t="shared" si="2"/>
        <v>-0.22850000000471482</v>
      </c>
      <c r="I40">
        <f t="shared" si="5"/>
        <v>-0.22850000000471482</v>
      </c>
      <c r="O40">
        <f t="shared" ca="1" si="3"/>
        <v>-8.5462095968162899E-2</v>
      </c>
      <c r="Q40" s="2">
        <f t="shared" si="4"/>
        <v>31128.883999999998</v>
      </c>
      <c r="AA40" t="s">
        <v>29</v>
      </c>
      <c r="AC40" t="s">
        <v>31</v>
      </c>
    </row>
    <row r="41" spans="1:29">
      <c r="A41" t="s">
        <v>30</v>
      </c>
      <c r="B41" s="6"/>
      <c r="C41" s="28">
        <v>47861.548999999999</v>
      </c>
      <c r="D41" s="15"/>
      <c r="E41">
        <f t="shared" si="0"/>
        <v>1062.9891637525361</v>
      </c>
      <c r="F41">
        <f t="shared" si="1"/>
        <v>1063</v>
      </c>
      <c r="G41">
        <f t="shared" si="2"/>
        <v>-0.12550000000192085</v>
      </c>
      <c r="I41">
        <f t="shared" si="5"/>
        <v>-0.12550000000192085</v>
      </c>
      <c r="O41">
        <f t="shared" ca="1" si="3"/>
        <v>-8.6899517766744705E-2</v>
      </c>
      <c r="Q41" s="2">
        <f t="shared" si="4"/>
        <v>32843.048999999999</v>
      </c>
      <c r="AA41" t="s">
        <v>29</v>
      </c>
      <c r="AC41" t="s">
        <v>31</v>
      </c>
    </row>
    <row r="42" spans="1:29">
      <c r="A42" t="s">
        <v>30</v>
      </c>
      <c r="B42" s="6"/>
      <c r="C42" s="28">
        <v>49031.381999999998</v>
      </c>
      <c r="D42" s="15"/>
      <c r="E42">
        <f t="shared" si="0"/>
        <v>1163.9979277295683</v>
      </c>
      <c r="F42">
        <f t="shared" si="1"/>
        <v>1164</v>
      </c>
      <c r="G42">
        <f t="shared" si="2"/>
        <v>-2.4000000004889444E-2</v>
      </c>
      <c r="I42">
        <f t="shared" si="5"/>
        <v>-2.4000000004889444E-2</v>
      </c>
      <c r="O42">
        <f t="shared" ca="1" si="3"/>
        <v>-8.7880461021182271E-2</v>
      </c>
      <c r="Q42" s="2">
        <f t="shared" si="4"/>
        <v>34012.881999999998</v>
      </c>
      <c r="AA42" t="s">
        <v>29</v>
      </c>
      <c r="AC42" t="s">
        <v>31</v>
      </c>
    </row>
    <row r="43" spans="1:29">
      <c r="A43" s="29" t="s">
        <v>122</v>
      </c>
      <c r="B43" s="30" t="s">
        <v>123</v>
      </c>
      <c r="C43" s="32">
        <v>53791.19</v>
      </c>
      <c r="D43" s="32" t="s">
        <v>43</v>
      </c>
      <c r="E43">
        <f t="shared" si="0"/>
        <v>1574.9816517722231</v>
      </c>
      <c r="F43">
        <f t="shared" si="1"/>
        <v>1575</v>
      </c>
      <c r="G43">
        <f t="shared" si="2"/>
        <v>-0.21249999999417923</v>
      </c>
      <c r="I43">
        <f t="shared" si="5"/>
        <v>-0.21249999999417923</v>
      </c>
      <c r="O43">
        <f t="shared" ca="1" si="3"/>
        <v>-9.187222020508172E-2</v>
      </c>
      <c r="Q43" s="2">
        <f t="shared" si="4"/>
        <v>38772.69</v>
      </c>
    </row>
    <row r="44" spans="1:29">
      <c r="B44" s="6"/>
      <c r="D44" s="6"/>
    </row>
    <row r="45" spans="1:29">
      <c r="D45" s="6"/>
    </row>
    <row r="46" spans="1:29">
      <c r="D46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topLeftCell="A9" workbookViewId="0">
      <selection activeCell="A30" sqref="A30:D32"/>
    </sheetView>
  </sheetViews>
  <sheetFormatPr defaultRowHeight="12.75"/>
  <cols>
    <col min="1" max="1" width="19.7109375" style="15" customWidth="1"/>
    <col min="2" max="2" width="4.42578125" style="14" customWidth="1"/>
    <col min="3" max="3" width="12.7109375" style="15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5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13" t="s">
        <v>34</v>
      </c>
      <c r="I1" s="16" t="s">
        <v>35</v>
      </c>
      <c r="J1" s="17" t="s">
        <v>36</v>
      </c>
    </row>
    <row r="2" spans="1:16">
      <c r="I2" s="18" t="s">
        <v>37</v>
      </c>
      <c r="J2" s="19" t="s">
        <v>38</v>
      </c>
    </row>
    <row r="3" spans="1:16">
      <c r="A3" s="20" t="s">
        <v>39</v>
      </c>
      <c r="I3" s="18" t="s">
        <v>40</v>
      </c>
      <c r="J3" s="19" t="s">
        <v>29</v>
      </c>
    </row>
    <row r="4" spans="1:16">
      <c r="I4" s="18" t="s">
        <v>41</v>
      </c>
      <c r="J4" s="19" t="s">
        <v>29</v>
      </c>
    </row>
    <row r="5" spans="1:16" ht="13.5" thickBot="1">
      <c r="I5" s="21" t="s">
        <v>42</v>
      </c>
      <c r="J5" s="22" t="s">
        <v>43</v>
      </c>
    </row>
    <row r="10" spans="1:16" ht="13.5" thickBot="1"/>
    <row r="11" spans="1:16" ht="12.75" customHeight="1" thickBot="1">
      <c r="A11" s="15" t="str">
        <f t="shared" ref="A11:A32" si="0">P11</f>
        <v> IODE 4.1.142 </v>
      </c>
      <c r="B11" s="6" t="str">
        <f t="shared" ref="B11:B32" si="1">IF(H11=INT(H11),"I","II")</f>
        <v>I</v>
      </c>
      <c r="C11" s="15">
        <f t="shared" ref="C11:C32" si="2">1*G11</f>
        <v>31149.200000000001</v>
      </c>
      <c r="D11" s="14" t="str">
        <f t="shared" ref="D11:D32" si="3">VLOOKUP(F11,I$1:J$5,2,FALSE)</f>
        <v>vis</v>
      </c>
      <c r="E11" s="23">
        <f>VLOOKUP(C11,A!C$21:E$973,3,FALSE)</f>
        <v>-380.03194750248241</v>
      </c>
      <c r="F11" s="6" t="s">
        <v>42</v>
      </c>
      <c r="G11" s="14" t="str">
        <f t="shared" ref="G11:G32" si="4">MID(I11,3,LEN(I11)-3)</f>
        <v>31149.20</v>
      </c>
      <c r="H11" s="15">
        <f t="shared" ref="H11:H32" si="5">1*K11</f>
        <v>-2047</v>
      </c>
      <c r="I11" s="24" t="s">
        <v>50</v>
      </c>
      <c r="J11" s="25" t="s">
        <v>51</v>
      </c>
      <c r="K11" s="24">
        <v>-2047</v>
      </c>
      <c r="L11" s="24" t="s">
        <v>52</v>
      </c>
      <c r="M11" s="25" t="s">
        <v>47</v>
      </c>
      <c r="N11" s="25"/>
      <c r="O11" s="26" t="s">
        <v>53</v>
      </c>
      <c r="P11" s="26" t="s">
        <v>54</v>
      </c>
    </row>
    <row r="12" spans="1:16" ht="12.75" customHeight="1" thickBot="1">
      <c r="A12" s="15" t="str">
        <f t="shared" si="0"/>
        <v> IODE 4.1.142 </v>
      </c>
      <c r="B12" s="6" t="str">
        <f t="shared" si="1"/>
        <v>I</v>
      </c>
      <c r="C12" s="15">
        <f t="shared" si="2"/>
        <v>31161.1</v>
      </c>
      <c r="D12" s="14" t="str">
        <f t="shared" si="3"/>
        <v>vis</v>
      </c>
      <c r="E12" s="23">
        <f>VLOOKUP(C12,A!C$21:E$973,3,FALSE)</f>
        <v>-379.00444674696735</v>
      </c>
      <c r="F12" s="6" t="s">
        <v>42</v>
      </c>
      <c r="G12" s="14" t="str">
        <f t="shared" si="4"/>
        <v>31161.10</v>
      </c>
      <c r="H12" s="15">
        <f t="shared" si="5"/>
        <v>-2046</v>
      </c>
      <c r="I12" s="24" t="s">
        <v>55</v>
      </c>
      <c r="J12" s="25" t="s">
        <v>56</v>
      </c>
      <c r="K12" s="24">
        <v>-2046</v>
      </c>
      <c r="L12" s="24" t="s">
        <v>57</v>
      </c>
      <c r="M12" s="25" t="s">
        <v>47</v>
      </c>
      <c r="N12" s="25"/>
      <c r="O12" s="26" t="s">
        <v>53</v>
      </c>
      <c r="P12" s="26" t="s">
        <v>54</v>
      </c>
    </row>
    <row r="13" spans="1:16" ht="12.75" customHeight="1" thickBot="1">
      <c r="A13" s="15" t="str">
        <f t="shared" si="0"/>
        <v> IODE 4.1.142 </v>
      </c>
      <c r="B13" s="6" t="str">
        <f t="shared" si="1"/>
        <v>I</v>
      </c>
      <c r="C13" s="15">
        <f t="shared" si="2"/>
        <v>31207.200000000001</v>
      </c>
      <c r="D13" s="14" t="str">
        <f t="shared" si="3"/>
        <v>vis</v>
      </c>
      <c r="E13" s="23">
        <f>VLOOKUP(C13,A!C$21:E$973,3,FALSE)</f>
        <v>-375.02396062686182</v>
      </c>
      <c r="F13" s="6" t="s">
        <v>42</v>
      </c>
      <c r="G13" s="14" t="str">
        <f t="shared" si="4"/>
        <v>31207.20</v>
      </c>
      <c r="H13" s="15">
        <f t="shared" si="5"/>
        <v>-2042</v>
      </c>
      <c r="I13" s="24" t="s">
        <v>58</v>
      </c>
      <c r="J13" s="25" t="s">
        <v>59</v>
      </c>
      <c r="K13" s="24">
        <v>-2042</v>
      </c>
      <c r="L13" s="24" t="s">
        <v>60</v>
      </c>
      <c r="M13" s="25" t="s">
        <v>47</v>
      </c>
      <c r="N13" s="25"/>
      <c r="O13" s="26" t="s">
        <v>53</v>
      </c>
      <c r="P13" s="26" t="s">
        <v>54</v>
      </c>
    </row>
    <row r="14" spans="1:16" ht="12.75" customHeight="1" thickBot="1">
      <c r="A14" s="15" t="str">
        <f t="shared" si="0"/>
        <v> IODE 4.1.142 </v>
      </c>
      <c r="B14" s="6" t="str">
        <f t="shared" si="1"/>
        <v>I</v>
      </c>
      <c r="C14" s="15">
        <f t="shared" si="2"/>
        <v>31219.3</v>
      </c>
      <c r="D14" s="14" t="str">
        <f t="shared" si="3"/>
        <v>vis</v>
      </c>
      <c r="E14" s="23">
        <f>VLOOKUP(C14,A!C$21:E$973,3,FALSE)</f>
        <v>-373.97919095108591</v>
      </c>
      <c r="F14" s="6" t="s">
        <v>42</v>
      </c>
      <c r="G14" s="14" t="str">
        <f t="shared" si="4"/>
        <v>31219.30</v>
      </c>
      <c r="H14" s="15">
        <f t="shared" si="5"/>
        <v>-2041</v>
      </c>
      <c r="I14" s="24" t="s">
        <v>61</v>
      </c>
      <c r="J14" s="25" t="s">
        <v>62</v>
      </c>
      <c r="K14" s="24">
        <v>-2041</v>
      </c>
      <c r="L14" s="24" t="s">
        <v>63</v>
      </c>
      <c r="M14" s="25" t="s">
        <v>47</v>
      </c>
      <c r="N14" s="25"/>
      <c r="O14" s="26" t="s">
        <v>53</v>
      </c>
      <c r="P14" s="26" t="s">
        <v>54</v>
      </c>
    </row>
    <row r="15" spans="1:16" ht="12.75" customHeight="1" thickBot="1">
      <c r="A15" s="15" t="str">
        <f t="shared" si="0"/>
        <v> AA 7.188 </v>
      </c>
      <c r="B15" s="6" t="str">
        <f t="shared" si="1"/>
        <v>I</v>
      </c>
      <c r="C15" s="15">
        <f t="shared" si="2"/>
        <v>35550.620000000003</v>
      </c>
      <c r="D15" s="14" t="str">
        <f t="shared" si="3"/>
        <v>vis</v>
      </c>
      <c r="E15" s="23">
        <f>VLOOKUP(C15,A!C$21:E$973,3,FALSE)</f>
        <v>6.9075681044550559E-3</v>
      </c>
      <c r="F15" s="6" t="s">
        <v>42</v>
      </c>
      <c r="G15" s="14" t="str">
        <f t="shared" si="4"/>
        <v>35550.620</v>
      </c>
      <c r="H15" s="15">
        <f t="shared" si="5"/>
        <v>-1667</v>
      </c>
      <c r="I15" s="24" t="s">
        <v>67</v>
      </c>
      <c r="J15" s="25" t="s">
        <v>68</v>
      </c>
      <c r="K15" s="24">
        <v>-1667</v>
      </c>
      <c r="L15" s="24" t="s">
        <v>69</v>
      </c>
      <c r="M15" s="25" t="s">
        <v>47</v>
      </c>
      <c r="N15" s="25"/>
      <c r="O15" s="26" t="s">
        <v>70</v>
      </c>
      <c r="P15" s="26" t="s">
        <v>71</v>
      </c>
    </row>
    <row r="16" spans="1:16" ht="12.75" customHeight="1" thickBot="1">
      <c r="A16" s="15" t="str">
        <f t="shared" si="0"/>
        <v> AA 8.189 </v>
      </c>
      <c r="B16" s="6" t="str">
        <f t="shared" si="1"/>
        <v>I</v>
      </c>
      <c r="C16" s="15">
        <f t="shared" si="2"/>
        <v>35874.68</v>
      </c>
      <c r="D16" s="14" t="str">
        <f t="shared" si="3"/>
        <v>vis</v>
      </c>
      <c r="E16" s="23">
        <f>VLOOKUP(C16,A!C$21:E$973,3,FALSE)</f>
        <v>27.987739066614811</v>
      </c>
      <c r="F16" s="6" t="s">
        <v>42</v>
      </c>
      <c r="G16" s="14" t="str">
        <f t="shared" si="4"/>
        <v>35874.680</v>
      </c>
      <c r="H16" s="15">
        <f t="shared" si="5"/>
        <v>-1639</v>
      </c>
      <c r="I16" s="24" t="s">
        <v>72</v>
      </c>
      <c r="J16" s="25" t="s">
        <v>73</v>
      </c>
      <c r="K16" s="24">
        <v>-1639</v>
      </c>
      <c r="L16" s="24" t="s">
        <v>74</v>
      </c>
      <c r="M16" s="25" t="s">
        <v>47</v>
      </c>
      <c r="N16" s="25"/>
      <c r="O16" s="26" t="s">
        <v>70</v>
      </c>
      <c r="P16" s="26" t="s">
        <v>75</v>
      </c>
    </row>
    <row r="17" spans="1:16" ht="12.75" customHeight="1" thickBot="1">
      <c r="A17" s="15" t="str">
        <f t="shared" si="0"/>
        <v>BAVM 86 </v>
      </c>
      <c r="B17" s="6" t="str">
        <f t="shared" si="1"/>
        <v>I</v>
      </c>
      <c r="C17" s="15">
        <f t="shared" si="2"/>
        <v>36245.394</v>
      </c>
      <c r="D17" s="14" t="str">
        <f t="shared" si="3"/>
        <v>vis</v>
      </c>
      <c r="E17" s="23">
        <f>VLOOKUP(C17,A!C$21:E$973,3,FALSE)</f>
        <v>59.996891594353009</v>
      </c>
      <c r="F17" s="6" t="s">
        <v>42</v>
      </c>
      <c r="G17" s="14" t="str">
        <f t="shared" si="4"/>
        <v>36245.394</v>
      </c>
      <c r="H17" s="15">
        <f t="shared" si="5"/>
        <v>-1607</v>
      </c>
      <c r="I17" s="24" t="s">
        <v>76</v>
      </c>
      <c r="J17" s="25" t="s">
        <v>77</v>
      </c>
      <c r="K17" s="24">
        <v>-1607</v>
      </c>
      <c r="L17" s="24" t="s">
        <v>78</v>
      </c>
      <c r="M17" s="25" t="s">
        <v>79</v>
      </c>
      <c r="N17" s="25"/>
      <c r="O17" s="26" t="s">
        <v>80</v>
      </c>
      <c r="P17" s="27" t="s">
        <v>81</v>
      </c>
    </row>
    <row r="18" spans="1:16" ht="12.75" customHeight="1" thickBot="1">
      <c r="A18" s="15" t="str">
        <f t="shared" si="0"/>
        <v>BAVM 86 </v>
      </c>
      <c r="B18" s="6" t="str">
        <f t="shared" si="1"/>
        <v>I</v>
      </c>
      <c r="C18" s="15">
        <f t="shared" si="2"/>
        <v>36604.398000000001</v>
      </c>
      <c r="D18" s="14" t="str">
        <f t="shared" si="3"/>
        <v>vis</v>
      </c>
      <c r="E18" s="23">
        <f>VLOOKUP(C18,A!C$21:E$973,3,FALSE)</f>
        <v>90.994948840823739</v>
      </c>
      <c r="F18" s="6" t="s">
        <v>42</v>
      </c>
      <c r="G18" s="14" t="str">
        <f t="shared" si="4"/>
        <v>36604.398</v>
      </c>
      <c r="H18" s="15">
        <f t="shared" si="5"/>
        <v>-1576</v>
      </c>
      <c r="I18" s="24" t="s">
        <v>82</v>
      </c>
      <c r="J18" s="25" t="s">
        <v>83</v>
      </c>
      <c r="K18" s="24">
        <v>-1576</v>
      </c>
      <c r="L18" s="24" t="s">
        <v>84</v>
      </c>
      <c r="M18" s="25" t="s">
        <v>79</v>
      </c>
      <c r="N18" s="25"/>
      <c r="O18" s="26" t="s">
        <v>80</v>
      </c>
      <c r="P18" s="27" t="s">
        <v>81</v>
      </c>
    </row>
    <row r="19" spans="1:16" ht="12.75" customHeight="1" thickBot="1">
      <c r="A19" s="15" t="str">
        <f t="shared" si="0"/>
        <v>BAVM 86 </v>
      </c>
      <c r="B19" s="6" t="str">
        <f t="shared" si="1"/>
        <v>I</v>
      </c>
      <c r="C19" s="15">
        <f t="shared" si="2"/>
        <v>36662.385000000002</v>
      </c>
      <c r="D19" s="14" t="str">
        <f t="shared" si="3"/>
        <v>vis</v>
      </c>
      <c r="E19" s="23">
        <f>VLOOKUP(C19,A!C$21:E$973,3,FALSE)</f>
        <v>96.001813236627484</v>
      </c>
      <c r="F19" s="6" t="s">
        <v>42</v>
      </c>
      <c r="G19" s="14" t="str">
        <f t="shared" si="4"/>
        <v>36662.385</v>
      </c>
      <c r="H19" s="15">
        <f t="shared" si="5"/>
        <v>-1571</v>
      </c>
      <c r="I19" s="24" t="s">
        <v>85</v>
      </c>
      <c r="J19" s="25" t="s">
        <v>86</v>
      </c>
      <c r="K19" s="24">
        <v>-1571</v>
      </c>
      <c r="L19" s="24" t="s">
        <v>87</v>
      </c>
      <c r="M19" s="25" t="s">
        <v>79</v>
      </c>
      <c r="N19" s="25"/>
      <c r="O19" s="26" t="s">
        <v>80</v>
      </c>
      <c r="P19" s="27" t="s">
        <v>81</v>
      </c>
    </row>
    <row r="20" spans="1:16" ht="12.75" customHeight="1" thickBot="1">
      <c r="A20" s="15" t="str">
        <f t="shared" si="0"/>
        <v>BAVM 86 </v>
      </c>
      <c r="B20" s="6" t="str">
        <f t="shared" si="1"/>
        <v>I</v>
      </c>
      <c r="C20" s="15">
        <f t="shared" si="2"/>
        <v>38318.625999999997</v>
      </c>
      <c r="D20" s="14" t="str">
        <f t="shared" si="3"/>
        <v>vis</v>
      </c>
      <c r="E20" s="23">
        <f>VLOOKUP(C20,A!C$21:E$973,3,FALSE)</f>
        <v>239.00928204463978</v>
      </c>
      <c r="F20" s="6" t="s">
        <v>42</v>
      </c>
      <c r="G20" s="14" t="str">
        <f t="shared" si="4"/>
        <v>38318.626</v>
      </c>
      <c r="H20" s="15">
        <f t="shared" si="5"/>
        <v>-1428</v>
      </c>
      <c r="I20" s="24" t="s">
        <v>88</v>
      </c>
      <c r="J20" s="25" t="s">
        <v>89</v>
      </c>
      <c r="K20" s="24">
        <v>-1428</v>
      </c>
      <c r="L20" s="24" t="s">
        <v>90</v>
      </c>
      <c r="M20" s="25" t="s">
        <v>79</v>
      </c>
      <c r="N20" s="25"/>
      <c r="O20" s="26" t="s">
        <v>80</v>
      </c>
      <c r="P20" s="27" t="s">
        <v>81</v>
      </c>
    </row>
    <row r="21" spans="1:16" ht="12.75" customHeight="1" thickBot="1">
      <c r="A21" s="15" t="str">
        <f t="shared" si="0"/>
        <v>BAVM 86 </v>
      </c>
      <c r="B21" s="6" t="str">
        <f t="shared" si="1"/>
        <v>I</v>
      </c>
      <c r="C21" s="15">
        <f t="shared" si="2"/>
        <v>38457.339</v>
      </c>
      <c r="D21" s="14" t="str">
        <f t="shared" si="3"/>
        <v>vis</v>
      </c>
      <c r="E21" s="23">
        <f>VLOOKUP(C21,A!C$21:E$973,3,FALSE)</f>
        <v>250.98640072529457</v>
      </c>
      <c r="F21" s="6" t="s">
        <v>42</v>
      </c>
      <c r="G21" s="14" t="str">
        <f t="shared" si="4"/>
        <v>38457.339</v>
      </c>
      <c r="H21" s="15">
        <f t="shared" si="5"/>
        <v>-1416</v>
      </c>
      <c r="I21" s="24" t="s">
        <v>91</v>
      </c>
      <c r="J21" s="25" t="s">
        <v>92</v>
      </c>
      <c r="K21" s="24">
        <v>-1416</v>
      </c>
      <c r="L21" s="24" t="s">
        <v>93</v>
      </c>
      <c r="M21" s="25" t="s">
        <v>79</v>
      </c>
      <c r="N21" s="25"/>
      <c r="O21" s="26" t="s">
        <v>80</v>
      </c>
      <c r="P21" s="27" t="s">
        <v>81</v>
      </c>
    </row>
    <row r="22" spans="1:16" ht="12.75" customHeight="1" thickBot="1">
      <c r="A22" s="15" t="str">
        <f t="shared" si="0"/>
        <v>BAVM 86 </v>
      </c>
      <c r="B22" s="6" t="str">
        <f t="shared" si="1"/>
        <v>I</v>
      </c>
      <c r="C22" s="15">
        <f t="shared" si="2"/>
        <v>40287.33</v>
      </c>
      <c r="D22" s="14" t="str">
        <f t="shared" si="3"/>
        <v>vis</v>
      </c>
      <c r="E22" s="23">
        <f>VLOOKUP(C22,A!C$21:E$973,3,FALSE)</f>
        <v>408.99624400984334</v>
      </c>
      <c r="F22" s="6" t="s">
        <v>42</v>
      </c>
      <c r="G22" s="14" t="str">
        <f t="shared" si="4"/>
        <v>40287.330</v>
      </c>
      <c r="H22" s="15">
        <f t="shared" si="5"/>
        <v>-1258</v>
      </c>
      <c r="I22" s="24" t="s">
        <v>94</v>
      </c>
      <c r="J22" s="25" t="s">
        <v>95</v>
      </c>
      <c r="K22" s="24">
        <v>-1258</v>
      </c>
      <c r="L22" s="24" t="s">
        <v>96</v>
      </c>
      <c r="M22" s="25" t="s">
        <v>79</v>
      </c>
      <c r="N22" s="25"/>
      <c r="O22" s="26" t="s">
        <v>80</v>
      </c>
      <c r="P22" s="27" t="s">
        <v>81</v>
      </c>
    </row>
    <row r="23" spans="1:16" ht="12.75" customHeight="1" thickBot="1">
      <c r="A23" s="15" t="str">
        <f t="shared" si="0"/>
        <v>BAVM 86 </v>
      </c>
      <c r="B23" s="6" t="str">
        <f t="shared" si="1"/>
        <v>I</v>
      </c>
      <c r="C23" s="15">
        <f t="shared" si="2"/>
        <v>40924.544000000002</v>
      </c>
      <c r="D23" s="14" t="str">
        <f t="shared" si="3"/>
        <v>vis</v>
      </c>
      <c r="E23" s="23">
        <f>VLOOKUP(C23,A!C$21:E$973,3,FALSE)</f>
        <v>464.01623278504519</v>
      </c>
      <c r="F23" s="6" t="s">
        <v>42</v>
      </c>
      <c r="G23" s="14" t="str">
        <f t="shared" si="4"/>
        <v>40924.544</v>
      </c>
      <c r="H23" s="15">
        <f t="shared" si="5"/>
        <v>-1203</v>
      </c>
      <c r="I23" s="24" t="s">
        <v>97</v>
      </c>
      <c r="J23" s="25" t="s">
        <v>98</v>
      </c>
      <c r="K23" s="24">
        <v>-1203</v>
      </c>
      <c r="L23" s="24" t="s">
        <v>99</v>
      </c>
      <c r="M23" s="25" t="s">
        <v>79</v>
      </c>
      <c r="N23" s="25"/>
      <c r="O23" s="26" t="s">
        <v>80</v>
      </c>
      <c r="P23" s="27" t="s">
        <v>81</v>
      </c>
    </row>
    <row r="24" spans="1:16" ht="12.75" customHeight="1" thickBot="1">
      <c r="A24" s="15" t="str">
        <f t="shared" si="0"/>
        <v>BAVM 86 </v>
      </c>
      <c r="B24" s="6" t="str">
        <f t="shared" si="1"/>
        <v>I</v>
      </c>
      <c r="C24" s="15">
        <f t="shared" si="2"/>
        <v>42858.338000000003</v>
      </c>
      <c r="D24" s="14" t="str">
        <f t="shared" si="3"/>
        <v>vis</v>
      </c>
      <c r="E24" s="23">
        <f>VLOOKUP(C24,A!C$21:E$973,3,FALSE)</f>
        <v>630.98890471873267</v>
      </c>
      <c r="F24" s="6" t="s">
        <v>42</v>
      </c>
      <c r="G24" s="14" t="str">
        <f t="shared" si="4"/>
        <v>42858.338</v>
      </c>
      <c r="H24" s="15">
        <f t="shared" si="5"/>
        <v>-1036</v>
      </c>
      <c r="I24" s="24" t="s">
        <v>100</v>
      </c>
      <c r="J24" s="25" t="s">
        <v>101</v>
      </c>
      <c r="K24" s="24">
        <v>-1036</v>
      </c>
      <c r="L24" s="24" t="s">
        <v>102</v>
      </c>
      <c r="M24" s="25" t="s">
        <v>79</v>
      </c>
      <c r="N24" s="25"/>
      <c r="O24" s="26" t="s">
        <v>80</v>
      </c>
      <c r="P24" s="27" t="s">
        <v>81</v>
      </c>
    </row>
    <row r="25" spans="1:16" ht="12.75" customHeight="1" thickBot="1">
      <c r="A25" s="15" t="str">
        <f t="shared" si="0"/>
        <v>BAVM 86 </v>
      </c>
      <c r="B25" s="6" t="str">
        <f t="shared" si="1"/>
        <v>I</v>
      </c>
      <c r="C25" s="15">
        <f t="shared" si="2"/>
        <v>43078.506999999998</v>
      </c>
      <c r="D25" s="14" t="str">
        <f t="shared" si="3"/>
        <v>vis</v>
      </c>
      <c r="E25" s="23">
        <f>VLOOKUP(C25,A!C$21:E$973,3,FALSE)</f>
        <v>649.99930924318926</v>
      </c>
      <c r="F25" s="6" t="s">
        <v>42</v>
      </c>
      <c r="G25" s="14" t="str">
        <f t="shared" si="4"/>
        <v>43078.507</v>
      </c>
      <c r="H25" s="15">
        <f t="shared" si="5"/>
        <v>-1017</v>
      </c>
      <c r="I25" s="24" t="s">
        <v>103</v>
      </c>
      <c r="J25" s="25" t="s">
        <v>104</v>
      </c>
      <c r="K25" s="24">
        <v>-1017</v>
      </c>
      <c r="L25" s="24" t="s">
        <v>105</v>
      </c>
      <c r="M25" s="25" t="s">
        <v>79</v>
      </c>
      <c r="N25" s="25"/>
      <c r="O25" s="26" t="s">
        <v>80</v>
      </c>
      <c r="P25" s="27" t="s">
        <v>81</v>
      </c>
    </row>
    <row r="26" spans="1:16" ht="12.75" customHeight="1" thickBot="1">
      <c r="A26" s="15" t="str">
        <f t="shared" si="0"/>
        <v>BAVM 86 </v>
      </c>
      <c r="B26" s="6" t="str">
        <f t="shared" si="1"/>
        <v>I</v>
      </c>
      <c r="C26" s="15">
        <f t="shared" si="2"/>
        <v>43217.373</v>
      </c>
      <c r="D26" s="14" t="str">
        <f t="shared" si="3"/>
        <v>vis</v>
      </c>
      <c r="E26" s="23">
        <f>VLOOKUP(C26,A!C$21:E$973,3,FALSE)</f>
        <v>661.98963864784344</v>
      </c>
      <c r="F26" s="6" t="s">
        <v>42</v>
      </c>
      <c r="G26" s="14" t="str">
        <f t="shared" si="4"/>
        <v>43217.373</v>
      </c>
      <c r="H26" s="15">
        <f t="shared" si="5"/>
        <v>-1005</v>
      </c>
      <c r="I26" s="24" t="s">
        <v>106</v>
      </c>
      <c r="J26" s="25" t="s">
        <v>107</v>
      </c>
      <c r="K26" s="24">
        <v>-1005</v>
      </c>
      <c r="L26" s="24" t="s">
        <v>108</v>
      </c>
      <c r="M26" s="25" t="s">
        <v>79</v>
      </c>
      <c r="N26" s="25"/>
      <c r="O26" s="26" t="s">
        <v>80</v>
      </c>
      <c r="P26" s="27" t="s">
        <v>81</v>
      </c>
    </row>
    <row r="27" spans="1:16" ht="12.75" customHeight="1" thickBot="1">
      <c r="A27" s="15" t="str">
        <f t="shared" si="0"/>
        <v>BAVM 86 </v>
      </c>
      <c r="B27" s="6" t="str">
        <f t="shared" si="1"/>
        <v>I</v>
      </c>
      <c r="C27" s="15">
        <f t="shared" si="2"/>
        <v>46147.383999999998</v>
      </c>
      <c r="D27" s="14" t="str">
        <f t="shared" si="3"/>
        <v>vis</v>
      </c>
      <c r="E27" s="23">
        <f>VLOOKUP(C27,A!C$21:E$973,3,FALSE)</f>
        <v>914.98027025860188</v>
      </c>
      <c r="F27" s="6" t="s">
        <v>42</v>
      </c>
      <c r="G27" s="14" t="str">
        <f t="shared" si="4"/>
        <v>46147.384</v>
      </c>
      <c r="H27" s="15">
        <f t="shared" si="5"/>
        <v>-752</v>
      </c>
      <c r="I27" s="24" t="s">
        <v>109</v>
      </c>
      <c r="J27" s="25" t="s">
        <v>110</v>
      </c>
      <c r="K27" s="24">
        <v>-752</v>
      </c>
      <c r="L27" s="24" t="s">
        <v>111</v>
      </c>
      <c r="M27" s="25" t="s">
        <v>79</v>
      </c>
      <c r="N27" s="25"/>
      <c r="O27" s="26" t="s">
        <v>80</v>
      </c>
      <c r="P27" s="27" t="s">
        <v>81</v>
      </c>
    </row>
    <row r="28" spans="1:16" ht="12.75" customHeight="1" thickBot="1">
      <c r="A28" s="15" t="str">
        <f t="shared" si="0"/>
        <v>BAVM 86 </v>
      </c>
      <c r="B28" s="6" t="str">
        <f t="shared" si="1"/>
        <v>I</v>
      </c>
      <c r="C28" s="15">
        <f t="shared" si="2"/>
        <v>47861.548999999999</v>
      </c>
      <c r="D28" s="14" t="str">
        <f t="shared" si="3"/>
        <v>vis</v>
      </c>
      <c r="E28" s="23">
        <f>VLOOKUP(C28,A!C$21:E$973,3,FALSE)</f>
        <v>1062.9891637525361</v>
      </c>
      <c r="F28" s="6" t="s">
        <v>42</v>
      </c>
      <c r="G28" s="14" t="str">
        <f t="shared" si="4"/>
        <v>47861.549</v>
      </c>
      <c r="H28" s="15">
        <f t="shared" si="5"/>
        <v>-604</v>
      </c>
      <c r="I28" s="24" t="s">
        <v>112</v>
      </c>
      <c r="J28" s="25" t="s">
        <v>113</v>
      </c>
      <c r="K28" s="24">
        <v>-604</v>
      </c>
      <c r="L28" s="24" t="s">
        <v>114</v>
      </c>
      <c r="M28" s="25" t="s">
        <v>79</v>
      </c>
      <c r="N28" s="25"/>
      <c r="O28" s="26" t="s">
        <v>80</v>
      </c>
      <c r="P28" s="27" t="s">
        <v>81</v>
      </c>
    </row>
    <row r="29" spans="1:16" ht="12.75" customHeight="1" thickBot="1">
      <c r="A29" s="15" t="str">
        <f t="shared" si="0"/>
        <v>BAVM 86 </v>
      </c>
      <c r="B29" s="6" t="str">
        <f t="shared" si="1"/>
        <v>I</v>
      </c>
      <c r="C29" s="15">
        <f t="shared" si="2"/>
        <v>49031.381999999998</v>
      </c>
      <c r="D29" s="14" t="str">
        <f t="shared" si="3"/>
        <v>vis</v>
      </c>
      <c r="E29" s="23">
        <f>VLOOKUP(C29,A!C$21:E$973,3,FALSE)</f>
        <v>1163.9979277295683</v>
      </c>
      <c r="F29" s="6" t="s">
        <v>42</v>
      </c>
      <c r="G29" s="14" t="str">
        <f t="shared" si="4"/>
        <v>49031.382</v>
      </c>
      <c r="H29" s="15">
        <f t="shared" si="5"/>
        <v>-503</v>
      </c>
      <c r="I29" s="24" t="s">
        <v>115</v>
      </c>
      <c r="J29" s="25" t="s">
        <v>116</v>
      </c>
      <c r="K29" s="24">
        <v>-503</v>
      </c>
      <c r="L29" s="24" t="s">
        <v>117</v>
      </c>
      <c r="M29" s="25" t="s">
        <v>79</v>
      </c>
      <c r="N29" s="25"/>
      <c r="O29" s="26" t="s">
        <v>80</v>
      </c>
      <c r="P29" s="27" t="s">
        <v>81</v>
      </c>
    </row>
    <row r="30" spans="1:16" ht="12.75" customHeight="1" thickBot="1">
      <c r="A30" s="15" t="str">
        <f t="shared" si="0"/>
        <v> PZ 6.303 </v>
      </c>
      <c r="B30" s="6" t="str">
        <f t="shared" si="1"/>
        <v>I</v>
      </c>
      <c r="C30" s="15">
        <f t="shared" si="2"/>
        <v>25347.31</v>
      </c>
      <c r="D30" s="14" t="str">
        <f t="shared" si="3"/>
        <v>vis</v>
      </c>
      <c r="E30" s="23">
        <f>VLOOKUP(C30,A!C$21:E$973,3,FALSE)</f>
        <v>-880.99382636100677</v>
      </c>
      <c r="F30" s="6" t="s">
        <v>42</v>
      </c>
      <c r="G30" s="14" t="str">
        <f t="shared" si="4"/>
        <v>25347.31</v>
      </c>
      <c r="H30" s="15">
        <f t="shared" si="5"/>
        <v>-2548</v>
      </c>
      <c r="I30" s="24" t="s">
        <v>44</v>
      </c>
      <c r="J30" s="25" t="s">
        <v>45</v>
      </c>
      <c r="K30" s="24">
        <v>-2548</v>
      </c>
      <c r="L30" s="24" t="s">
        <v>46</v>
      </c>
      <c r="M30" s="25" t="s">
        <v>47</v>
      </c>
      <c r="N30" s="25"/>
      <c r="O30" s="26" t="s">
        <v>48</v>
      </c>
      <c r="P30" s="26" t="s">
        <v>49</v>
      </c>
    </row>
    <row r="31" spans="1:16" ht="12.75" customHeight="1" thickBot="1">
      <c r="A31" s="15" t="str">
        <f t="shared" si="0"/>
        <v> IODE 4.1.142 </v>
      </c>
      <c r="B31" s="6" t="str">
        <f t="shared" si="1"/>
        <v>I</v>
      </c>
      <c r="C31" s="15">
        <f t="shared" si="2"/>
        <v>31230.1</v>
      </c>
      <c r="D31" s="14" t="str">
        <f t="shared" si="3"/>
        <v>vis</v>
      </c>
      <c r="E31" s="23">
        <f>VLOOKUP(C31,A!C$21:E$973,3,FALSE)</f>
        <v>-373.04666925700491</v>
      </c>
      <c r="F31" s="6" t="s">
        <v>42</v>
      </c>
      <c r="G31" s="14" t="str">
        <f t="shared" si="4"/>
        <v>31230.10</v>
      </c>
      <c r="H31" s="15">
        <f t="shared" si="5"/>
        <v>-2040</v>
      </c>
      <c r="I31" s="24" t="s">
        <v>64</v>
      </c>
      <c r="J31" s="25" t="s">
        <v>65</v>
      </c>
      <c r="K31" s="24">
        <v>-2040</v>
      </c>
      <c r="L31" s="24" t="s">
        <v>66</v>
      </c>
      <c r="M31" s="25" t="s">
        <v>47</v>
      </c>
      <c r="N31" s="25"/>
      <c r="O31" s="26" t="s">
        <v>53</v>
      </c>
      <c r="P31" s="26" t="s">
        <v>54</v>
      </c>
    </row>
    <row r="32" spans="1:16" ht="12.75" customHeight="1" thickBot="1">
      <c r="A32" s="15" t="str">
        <f t="shared" si="0"/>
        <v>BAVM 192 </v>
      </c>
      <c r="B32" s="6" t="str">
        <f t="shared" si="1"/>
        <v>I</v>
      </c>
      <c r="C32" s="15">
        <f t="shared" si="2"/>
        <v>53791.19</v>
      </c>
      <c r="D32" s="14" t="str">
        <f t="shared" si="3"/>
        <v>vis</v>
      </c>
      <c r="E32" s="23">
        <f>VLOOKUP(C32,A!C$21:E$973,3,FALSE)</f>
        <v>1574.9816517722231</v>
      </c>
      <c r="F32" s="6" t="s">
        <v>42</v>
      </c>
      <c r="G32" s="14" t="str">
        <f t="shared" si="4"/>
        <v>53791.19</v>
      </c>
      <c r="H32" s="15">
        <f t="shared" si="5"/>
        <v>-92</v>
      </c>
      <c r="I32" s="24" t="s">
        <v>118</v>
      </c>
      <c r="J32" s="25" t="s">
        <v>119</v>
      </c>
      <c r="K32" s="24">
        <v>-92</v>
      </c>
      <c r="L32" s="24" t="s">
        <v>120</v>
      </c>
      <c r="M32" s="25" t="s">
        <v>47</v>
      </c>
      <c r="N32" s="25"/>
      <c r="O32" s="26" t="s">
        <v>121</v>
      </c>
      <c r="P32" s="27" t="s">
        <v>122</v>
      </c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</sheetData>
  <phoneticPr fontId="7" type="noConversion"/>
  <hyperlinks>
    <hyperlink ref="P17" r:id="rId1" display="http://www.bav-astro.de/sfs/BAVM_link.php?BAVMnr=86"/>
    <hyperlink ref="P18" r:id="rId2" display="http://www.bav-astro.de/sfs/BAVM_link.php?BAVMnr=86"/>
    <hyperlink ref="P19" r:id="rId3" display="http://www.bav-astro.de/sfs/BAVM_link.php?BAVMnr=86"/>
    <hyperlink ref="P20" r:id="rId4" display="http://www.bav-astro.de/sfs/BAVM_link.php?BAVMnr=86"/>
    <hyperlink ref="P21" r:id="rId5" display="http://www.bav-astro.de/sfs/BAVM_link.php?BAVMnr=86"/>
    <hyperlink ref="P22" r:id="rId6" display="http://www.bav-astro.de/sfs/BAVM_link.php?BAVMnr=86"/>
    <hyperlink ref="P23" r:id="rId7" display="http://www.bav-astro.de/sfs/BAVM_link.php?BAVMnr=86"/>
    <hyperlink ref="P24" r:id="rId8" display="http://www.bav-astro.de/sfs/BAVM_link.php?BAVMnr=86"/>
    <hyperlink ref="P25" r:id="rId9" display="http://www.bav-astro.de/sfs/BAVM_link.php?BAVMnr=86"/>
    <hyperlink ref="P26" r:id="rId10" display="http://www.bav-astro.de/sfs/BAVM_link.php?BAVMnr=86"/>
    <hyperlink ref="P27" r:id="rId11" display="http://www.bav-astro.de/sfs/BAVM_link.php?BAVMnr=86"/>
    <hyperlink ref="P28" r:id="rId12" display="http://www.bav-astro.de/sfs/BAVM_link.php?BAVMnr=86"/>
    <hyperlink ref="P29" r:id="rId13" display="http://www.bav-astro.de/sfs/BAVM_link.php?BAVMnr=86"/>
    <hyperlink ref="P32" r:id="rId14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2024-01-29T04:40:09Z</dcterms:modified>
</cp:coreProperties>
</file>