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199FE53-05B3-40AD-A578-5A7A29EBF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61" i="2" l="1"/>
  <c r="F61" i="2" s="1"/>
  <c r="G61" i="2" s="1"/>
  <c r="K61" i="2" s="1"/>
  <c r="Q61" i="2"/>
  <c r="E62" i="2"/>
  <c r="F62" i="2"/>
  <c r="G62" i="2" s="1"/>
  <c r="K62" i="2" s="1"/>
  <c r="Q62" i="2"/>
  <c r="E63" i="2"/>
  <c r="F63" i="2" s="1"/>
  <c r="G63" i="2" s="1"/>
  <c r="K63" i="2" s="1"/>
  <c r="Q63" i="2"/>
  <c r="E60" i="2"/>
  <c r="F60" i="2"/>
  <c r="G60" i="2"/>
  <c r="K60" i="2"/>
  <c r="Q60" i="2"/>
  <c r="E59" i="2"/>
  <c r="F59" i="2"/>
  <c r="G59" i="2"/>
  <c r="K59" i="2"/>
  <c r="D9" i="2"/>
  <c r="C9" i="2"/>
  <c r="Q59" i="2"/>
  <c r="E58" i="2"/>
  <c r="F58" i="2"/>
  <c r="G58" i="2"/>
  <c r="K58" i="2"/>
  <c r="E57" i="2"/>
  <c r="F57" i="2"/>
  <c r="G57" i="2"/>
  <c r="K57" i="2"/>
  <c r="E53" i="2"/>
  <c r="F53" i="2"/>
  <c r="G53" i="2"/>
  <c r="K53" i="2"/>
  <c r="E54" i="2"/>
  <c r="F54" i="2"/>
  <c r="G54" i="2"/>
  <c r="K54" i="2"/>
  <c r="E55" i="2"/>
  <c r="F55" i="2"/>
  <c r="G55" i="2"/>
  <c r="K55" i="2"/>
  <c r="E56" i="2"/>
  <c r="F56" i="2"/>
  <c r="G56" i="2"/>
  <c r="K56" i="2"/>
  <c r="E25" i="2"/>
  <c r="F25" i="2"/>
  <c r="G25" i="2"/>
  <c r="K25" i="2"/>
  <c r="E26" i="2"/>
  <c r="F26" i="2"/>
  <c r="G26" i="2"/>
  <c r="K26" i="2"/>
  <c r="E27" i="2"/>
  <c r="F27" i="2"/>
  <c r="G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J32" i="2"/>
  <c r="E33" i="2"/>
  <c r="F33" i="2"/>
  <c r="G33" i="2"/>
  <c r="J33" i="2"/>
  <c r="E34" i="2"/>
  <c r="F34" i="2"/>
  <c r="G34" i="2"/>
  <c r="K34" i="2"/>
  <c r="E35" i="2"/>
  <c r="F35" i="2"/>
  <c r="G35" i="2"/>
  <c r="E36" i="2"/>
  <c r="F36" i="2"/>
  <c r="G36" i="2"/>
  <c r="J36" i="2"/>
  <c r="E37" i="2"/>
  <c r="F37" i="2"/>
  <c r="G37" i="2"/>
  <c r="J37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J41" i="2"/>
  <c r="E42" i="2"/>
  <c r="F42" i="2"/>
  <c r="G42" i="2"/>
  <c r="K42" i="2"/>
  <c r="E43" i="2"/>
  <c r="F43" i="2"/>
  <c r="G43" i="2"/>
  <c r="E44" i="2"/>
  <c r="F44" i="2"/>
  <c r="G44" i="2"/>
  <c r="K44" i="2"/>
  <c r="E45" i="2"/>
  <c r="F45" i="2"/>
  <c r="G45" i="2"/>
  <c r="J45" i="2"/>
  <c r="E46" i="2"/>
  <c r="F46" i="2"/>
  <c r="G46" i="2"/>
  <c r="J46" i="2"/>
  <c r="E47" i="2"/>
  <c r="F47" i="2"/>
  <c r="G47" i="2"/>
  <c r="J47" i="2"/>
  <c r="E48" i="2"/>
  <c r="F48" i="2"/>
  <c r="G48" i="2"/>
  <c r="K48" i="2"/>
  <c r="E49" i="2"/>
  <c r="F49" i="2"/>
  <c r="G49" i="2"/>
  <c r="K49" i="2"/>
  <c r="E50" i="2"/>
  <c r="F50" i="2"/>
  <c r="G50" i="2"/>
  <c r="K50" i="2"/>
  <c r="E51" i="2"/>
  <c r="F51" i="2"/>
  <c r="G51" i="2"/>
  <c r="E52" i="2"/>
  <c r="F52" i="2"/>
  <c r="G52" i="2"/>
  <c r="K52" i="2"/>
  <c r="Q58" i="2"/>
  <c r="Q57" i="2"/>
  <c r="Q53" i="2"/>
  <c r="Q54" i="2"/>
  <c r="Q55" i="2"/>
  <c r="Q56" i="2"/>
  <c r="K27" i="2"/>
  <c r="K35" i="2"/>
  <c r="G33" i="3"/>
  <c r="C33" i="3"/>
  <c r="E33" i="3"/>
  <c r="G32" i="3"/>
  <c r="C32" i="3"/>
  <c r="E32" i="3"/>
  <c r="G34" i="3"/>
  <c r="C34" i="3"/>
  <c r="E34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H33" i="3"/>
  <c r="D33" i="3"/>
  <c r="B33" i="3"/>
  <c r="A33" i="3"/>
  <c r="H32" i="3"/>
  <c r="D32" i="3"/>
  <c r="B32" i="3"/>
  <c r="A32" i="3"/>
  <c r="H34" i="3"/>
  <c r="D34" i="3"/>
  <c r="B34" i="3"/>
  <c r="A34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K51" i="2"/>
  <c r="E22" i="2"/>
  <c r="F22" i="2"/>
  <c r="G22" i="2"/>
  <c r="J22" i="2"/>
  <c r="E21" i="2"/>
  <c r="F21" i="2"/>
  <c r="G21" i="2"/>
  <c r="E23" i="2"/>
  <c r="F23" i="2"/>
  <c r="G23" i="2"/>
  <c r="J23" i="2"/>
  <c r="E24" i="2"/>
  <c r="F24" i="2"/>
  <c r="G24" i="2"/>
  <c r="J24" i="2"/>
  <c r="Q51" i="2"/>
  <c r="Q52" i="2"/>
  <c r="Q41" i="2"/>
  <c r="Q45" i="2"/>
  <c r="Q46" i="2"/>
  <c r="Q47" i="2"/>
  <c r="Q38" i="2"/>
  <c r="Q39" i="2"/>
  <c r="Q42" i="2"/>
  <c r="K43" i="2"/>
  <c r="Q43" i="2"/>
  <c r="Q50" i="2"/>
  <c r="Q49" i="2"/>
  <c r="Q44" i="2"/>
  <c r="Q48" i="2"/>
  <c r="Q32" i="2"/>
  <c r="Q33" i="2"/>
  <c r="Q35" i="2"/>
  <c r="Q40" i="2"/>
  <c r="Q36" i="2"/>
  <c r="Q37" i="2"/>
  <c r="F16" i="2"/>
  <c r="F17" i="2" s="1"/>
  <c r="C17" i="2"/>
  <c r="Q34" i="2"/>
  <c r="Q31" i="2"/>
  <c r="Q30" i="2"/>
  <c r="Q22" i="2"/>
  <c r="J21" i="2"/>
  <c r="Q21" i="2"/>
  <c r="Q23" i="2"/>
  <c r="Q24" i="2"/>
  <c r="Q25" i="2"/>
  <c r="Q26" i="2"/>
  <c r="Q27" i="2"/>
  <c r="Q28" i="2"/>
  <c r="Q29" i="2"/>
  <c r="E28" i="1"/>
  <c r="F28" i="1"/>
  <c r="G28" i="1"/>
  <c r="J28" i="1"/>
  <c r="E27" i="1"/>
  <c r="F27" i="1"/>
  <c r="G27" i="1"/>
  <c r="J27" i="1"/>
  <c r="E21" i="1"/>
  <c r="F21" i="1"/>
  <c r="G21" i="1"/>
  <c r="E22" i="1"/>
  <c r="F22" i="1"/>
  <c r="G22" i="1"/>
  <c r="E23" i="1"/>
  <c r="F23" i="1"/>
  <c r="G23" i="1"/>
  <c r="H23" i="1"/>
  <c r="E24" i="1"/>
  <c r="F24" i="1"/>
  <c r="G24" i="1"/>
  <c r="H24" i="1"/>
  <c r="E25" i="1"/>
  <c r="F25" i="1"/>
  <c r="G25" i="1"/>
  <c r="E26" i="1"/>
  <c r="F26" i="1"/>
  <c r="G26" i="1"/>
  <c r="I26" i="1"/>
  <c r="E29" i="1"/>
  <c r="F29" i="1"/>
  <c r="G29" i="1"/>
  <c r="I29" i="1"/>
  <c r="Q27" i="1"/>
  <c r="Q28" i="1"/>
  <c r="E15" i="1"/>
  <c r="E16" i="1" s="1"/>
  <c r="E17" i="1" s="1"/>
  <c r="C17" i="1"/>
  <c r="Q29" i="1"/>
  <c r="Q23" i="1"/>
  <c r="Q24" i="1"/>
  <c r="Q22" i="1"/>
  <c r="I25" i="1"/>
  <c r="Q25" i="1"/>
  <c r="Q26" i="1"/>
  <c r="H21" i="1"/>
  <c r="Q21" i="1"/>
  <c r="C12" i="1"/>
  <c r="C16" i="1"/>
  <c r="D18" i="1"/>
  <c r="H22" i="1"/>
  <c r="C11" i="1"/>
  <c r="O25" i="1"/>
  <c r="O28" i="1"/>
  <c r="O27" i="1"/>
  <c r="O24" i="1"/>
  <c r="O23" i="1"/>
  <c r="O26" i="1"/>
  <c r="O21" i="1"/>
  <c r="O29" i="1"/>
  <c r="C15" i="1"/>
  <c r="O22" i="1"/>
  <c r="C18" i="1"/>
  <c r="C12" i="2"/>
  <c r="C11" i="2"/>
  <c r="O63" i="2" l="1"/>
  <c r="O62" i="2"/>
  <c r="O61" i="2"/>
  <c r="O47" i="2"/>
  <c r="O40" i="2"/>
  <c r="O59" i="2"/>
  <c r="O45" i="2"/>
  <c r="O51" i="2"/>
  <c r="O50" i="2"/>
  <c r="O58" i="2"/>
  <c r="C15" i="2"/>
  <c r="O60" i="2"/>
  <c r="O52" i="2"/>
  <c r="O34" i="2"/>
  <c r="O57" i="2"/>
  <c r="O43" i="2"/>
  <c r="O42" i="2"/>
  <c r="O39" i="2"/>
  <c r="O56" i="2"/>
  <c r="O48" i="2"/>
  <c r="O49" i="2"/>
  <c r="O35" i="2"/>
  <c r="O44" i="2"/>
  <c r="O54" i="2"/>
  <c r="O55" i="2"/>
  <c r="O38" i="2"/>
  <c r="O36" i="2"/>
  <c r="O46" i="2"/>
  <c r="O53" i="2"/>
  <c r="O41" i="2"/>
  <c r="O37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<sst xmlns="http://schemas.openxmlformats.org/spreadsheetml/2006/main" count="401" uniqueCount="193">
  <si>
    <t>VSB-66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</si>
  <si>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</si>
  <si>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</si>
  <si>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</si>
  <si>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</si>
  <si>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</si>
  <si>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</si>
  <si>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</si>
  <si>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</si>
  <si>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</si>
  <si>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</si>
  <si>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</si>
  <si>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</si>
  <si>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</si>
  <si>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</si>
  <si>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</si>
  <si>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</si>
  <si>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</si>
  <si>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</si>
  <si>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</si>
  <si>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</si>
  <si>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</si>
  <si>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</si>
  <si>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</si>
  <si>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</si>
  <si>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</si>
  <si>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</si>
  <si>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</si>
  <si>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</si>
  <si>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</si>
  <si>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</t>
  </si>
  <si>
    <t>IBVS 5224</t>
  </si>
  <si>
    <t>not avail.</t>
  </si>
  <si>
    <t>Nelson</t>
  </si>
  <si>
    <t>II</t>
  </si>
  <si>
    <t># of data points:</t>
  </si>
  <si>
    <t>IBVS 5760</t>
  </si>
  <si>
    <t>MM Com / GSC 2532-0514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</si>
  <si>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</si>
  <si>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</si>
  <si>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</si>
  <si>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</si>
  <si>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</si>
  <si>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</si>
  <si>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5784</t>
  </si>
  <si>
    <t>I</t>
  </si>
  <si>
    <t>IBVS</t>
  </si>
  <si>
    <t>Verified by</t>
  </si>
  <si>
    <t>ToMCat</t>
  </si>
  <si>
    <t>Period</t>
  </si>
  <si>
    <t>EW?</t>
  </si>
  <si>
    <t>Start of linear fit &gt;&gt;&gt;&gt;&gt;&gt;&gt;&gt;&gt;&gt;&gt;&gt;&gt;&gt;&gt;&gt;&gt;&gt;&gt;&gt;&gt;</t>
  </si>
  <si>
    <t>IBVS 5875</t>
  </si>
  <si>
    <t>IBVS 5894</t>
  </si>
  <si>
    <t>IBVS 5945</t>
  </si>
  <si>
    <t>Add cycle</t>
  </si>
  <si>
    <t>Old Cycle</t>
  </si>
  <si>
    <t>IBVS 5918</t>
  </si>
  <si>
    <t>IBVS 5992</t>
  </si>
  <si>
    <t>IBVS 6010</t>
  </si>
  <si>
    <t>IBVS 6029</t>
  </si>
  <si>
    <t>IBVS 6050</t>
  </si>
  <si>
    <t>OEJV 0160</t>
  </si>
  <si>
    <t>IBVS 6048</t>
  </si>
  <si>
    <t>IBVS 6118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</si>
  <si>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</si>
  <si>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</si>
  <si>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</si>
  <si>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</si>
  <si>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</si>
  <si>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</si>
  <si>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</si>
  <si>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</si>
  <si>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</si>
  <si>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</si>
  <si>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</si>
  <si>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</si>
  <si>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</si>
  <si>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2452010.7820 </t>
  </si>
  <si>
    <t> 11.04.2001 06:46 </t>
  </si>
  <si>
    <t> 0.0022 </t>
  </si>
  <si>
    <t>C </t>
  </si>
  <si>
    <t> R.Nelson </t>
  </si>
  <si>
    <t>IBVS 5224 </t>
  </si>
  <si>
    <t>2453056.2653 </t>
  </si>
  <si>
    <t> 20.02.2004 18:22 </t>
  </si>
  <si>
    <t> -0.0035 </t>
  </si>
  <si>
    <t> M.Lewandowski et al. </t>
  </si>
  <si>
    <t>IBVS 5784 </t>
  </si>
  <si>
    <t>2453056.4207 </t>
  </si>
  <si>
    <t> 20.02.2004 22:05 </t>
  </si>
  <si>
    <t> 0.0009 </t>
  </si>
  <si>
    <t>2454804.023 </t>
  </si>
  <si>
    <t> 03.12.2008 12:33 </t>
  </si>
  <si>
    <t> -0.012 </t>
  </si>
  <si>
    <t>IBVS 5875 </t>
  </si>
  <si>
    <t>2454888.8842 </t>
  </si>
  <si>
    <t> 26.02.2009 09:13 </t>
  </si>
  <si>
    <t> -0.0103 </t>
  </si>
  <si>
    <t> R.Diethelm </t>
  </si>
  <si>
    <t>IBVS 5894 </t>
  </si>
  <si>
    <t>2454908.5121 </t>
  </si>
  <si>
    <t> 18.03.2009 00:17 </t>
  </si>
  <si>
    <t> -0.0118 </t>
  </si>
  <si>
    <t>-I</t>
  </si>
  <si>
    <t> F.Agerer </t>
  </si>
  <si>
    <t>BAVM 209 </t>
  </si>
  <si>
    <t>2454908.6596 </t>
  </si>
  <si>
    <t> 18.03.2009 03:49 </t>
  </si>
  <si>
    <t>10953</t>
  </si>
  <si>
    <t> -0.0153 </t>
  </si>
  <si>
    <t>2455280.7124 </t>
  </si>
  <si>
    <t> 25.03.2010 05:05 </t>
  </si>
  <si>
    <t>12185</t>
  </si>
  <si>
    <t> -0.0140 </t>
  </si>
  <si>
    <t>IBVS 5945 </t>
  </si>
  <si>
    <t>2455614.8630 </t>
  </si>
  <si>
    <t> 22.02.2011 08:42 </t>
  </si>
  <si>
    <t>13291.5</t>
  </si>
  <si>
    <t>IBVS 5992 </t>
  </si>
  <si>
    <t>2455624.3723 </t>
  </si>
  <si>
    <t> 03.03.2011 20:56 </t>
  </si>
  <si>
    <t>13323</t>
  </si>
  <si>
    <t> -0.0186 </t>
  </si>
  <si>
    <t>BAVM 220 </t>
  </si>
  <si>
    <t>2455624.5262 </t>
  </si>
  <si>
    <t> 04.03.2011 00:37 </t>
  </si>
  <si>
    <t>13323.5</t>
  </si>
  <si>
    <t> -0.0157 </t>
  </si>
  <si>
    <t>2455627.54504 </t>
  </si>
  <si>
    <t> 07.03.2011 01:04 </t>
  </si>
  <si>
    <t>13333.5</t>
  </si>
  <si>
    <t> -0.01679 </t>
  </si>
  <si>
    <t>R</t>
  </si>
  <si>
    <t> M.Lehky </t>
  </si>
  <si>
    <t>OEJV 0160 </t>
  </si>
  <si>
    <t>2455645.51111 </t>
  </si>
  <si>
    <t> 25.03.2011 00:15 </t>
  </si>
  <si>
    <t>13393</t>
  </si>
  <si>
    <t> -0.01912 </t>
  </si>
  <si>
    <t>2455684.7678 </t>
  </si>
  <si>
    <t> 03.05.2011 06:25 </t>
  </si>
  <si>
    <t>13523</t>
  </si>
  <si>
    <t> -0.0211 </t>
  </si>
  <si>
    <t>2455944.4795 </t>
  </si>
  <si>
    <t> 17.01.2012 23:30 </t>
  </si>
  <si>
    <t>14383</t>
  </si>
  <si>
    <t> -0.0207 </t>
  </si>
  <si>
    <t>o</t>
  </si>
  <si>
    <t> W.Moschner &amp; P.Frank </t>
  </si>
  <si>
    <t>BAVM 234 </t>
  </si>
  <si>
    <t>2455963.65755 </t>
  </si>
  <si>
    <t> 06.02.2012 03:46 </t>
  </si>
  <si>
    <t>14446.5</t>
  </si>
  <si>
    <t> -0.01904 </t>
  </si>
  <si>
    <t>2455989.47574 </t>
  </si>
  <si>
    <t> 02.03.2012 23:25 </t>
  </si>
  <si>
    <t>14532</t>
  </si>
  <si>
    <t> -0.02099 </t>
  </si>
  <si>
    <t>2455989.9338 </t>
  </si>
  <si>
    <t> 03.03.2012 10:24 </t>
  </si>
  <si>
    <t>14533.5</t>
  </si>
  <si>
    <t> -0.0159 </t>
  </si>
  <si>
    <t>IBVS 6029 </t>
  </si>
  <si>
    <t>2456008.3538 </t>
  </si>
  <si>
    <t> 21.03.2012 20:29 </t>
  </si>
  <si>
    <t>14594.5</t>
  </si>
  <si>
    <t> -0.0173 </t>
  </si>
  <si>
    <t>BAVM 228 </t>
  </si>
  <si>
    <t>2456008.5006 </t>
  </si>
  <si>
    <t> 22.03.2012 00:00 </t>
  </si>
  <si>
    <t>14595</t>
  </si>
  <si>
    <t> -0.0215 </t>
  </si>
  <si>
    <t>2456008.6550 </t>
  </si>
  <si>
    <t> 22.03.2012 03:43 </t>
  </si>
  <si>
    <t>14595.5</t>
  </si>
  <si>
    <t> -0.0181 </t>
  </si>
  <si>
    <t>2456023.7542 </t>
  </si>
  <si>
    <t> 06.04.2012 06:06 </t>
  </si>
  <si>
    <t>14645.5</t>
  </si>
  <si>
    <t> -0.0184 </t>
  </si>
  <si>
    <t>IBVS 6050 </t>
  </si>
  <si>
    <t>2456049.7302 </t>
  </si>
  <si>
    <t> 02.05.2012 05:31 </t>
  </si>
  <si>
    <t>14731.5</t>
  </si>
  <si>
    <t> -0.0135 </t>
  </si>
  <si>
    <t>2456408.48494 </t>
  </si>
  <si>
    <t> 25.04.2013 23:38 </t>
  </si>
  <si>
    <t>15919.5</t>
  </si>
  <si>
    <t> -0.02277 </t>
  </si>
  <si>
    <t>OEJV 0179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</si>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</sst>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7" fillId="0" borderId="5" xfId="0" applyFont="1" applyBorder="1">
      <alignment vertical="top"/>
    </xf>
    <xf numFmtId="0" fontId="7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1" fillId="0" borderId="5" xfId="0" applyFont="1" applyBorder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wrapText="1"/>
    </xf>
    <xf numFmtId="0" fontId="10" fillId="0" borderId="0" xfId="0" applyFont="1" applyAlignment="1">
      <alignment horizontal="left" vertical="top"/>
    </xf>
    <xf numFmtId="0" fontId="0" fillId="0" borderId="5" xfId="0" applyBorder="1" applyAlignment="1">
      <alignment horizontal="left" wrapText="1"/>
    </xf>
    <xf numFmtId="0" fontId="5" fillId="0" borderId="0" xfId="0" applyFont="1" applyAlignment="1">
      <alignment horizontal="left" vertical="top"/>
    </xf>
    <xf numFmtId="0" fontId="12" fillId="24" borderId="0" xfId="0" applyFont="1" applyFill="1" applyAlignment="1"/>
    <xf numFmtId="0" fontId="14" fillId="24" borderId="0" xfId="0" applyFont="1" applyFill="1" applyAlignment="1"/>
    <xf numFmtId="0" fontId="16" fillId="0" borderId="0" xfId="0" applyFont="1" applyAlignment="1"/>
    <xf numFmtId="0" fontId="17" fillId="0" borderId="14" xfId="0" applyFont="1" applyBorder="1" applyAlignment="1">
      <alignment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8" fillId="0" borderId="0" xfId="0" applyFont="1">
      <alignment vertical="top"/>
    </xf>
    <xf numFmtId="0" fontId="16" fillId="0" borderId="0" xfId="0" applyFont="1" applyAlignment="1">
      <alignment horizontal="left"/>
    </xf>
    <xf numFmtId="0" fontId="10" fillId="0" borderId="5" xfId="0" applyFont="1" applyBorder="1" applyAlignment="1">
      <alignment horizontal="left" vertical="top"/>
    </xf>
    <xf numFmtId="0" fontId="10" fillId="0" borderId="0" xfId="0" applyFont="1">
      <alignment vertical="top"/>
    </xf>
    <xf numFmtId="0" fontId="5" fillId="0" borderId="0" xfId="0" applyFont="1" applyAlignment="1">
      <alignment horizontal="center" vertical="top"/>
    </xf>
    <xf numFmtId="0" fontId="10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5" borderId="21" xfId="0" applyFont="1" applyFill="1" applyBorder="1" applyAlignment="1">
      <alignment horizontal="left" vertical="top" wrapText="1" indent="1"/>
    </xf>
    <xf numFmtId="0" fontId="5" fillId="25" borderId="21" xfId="0" applyFont="1" applyFill="1" applyBorder="1" applyAlignment="1">
      <alignment horizontal="center" vertical="top" wrapText="1"/>
    </xf>
    <xf numFmtId="0" fontId="5" fillId="25" borderId="21" xfId="0" applyFont="1" applyFill="1" applyBorder="1" applyAlignment="1">
      <alignment horizontal="right" vertical="top" wrapText="1"/>
    </xf>
    <xf numFmtId="0" fontId="24" fillId="25" borderId="21" xfId="38" applyFill="1" applyBorder="1" applyAlignment="1" applyProtection="1">
      <alignment horizontal="right" vertical="top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7" fontId="41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Com - O-C Diagr.</a:t>
            </a:r>
          </a:p>
        </c:rich>
      </c:tx>
      <c:layout>
        <c:manualLayout>
          <c:xMode val="edge"/>
          <c:yMode val="edge"/>
          <c:x val="0.340361762008664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6636916295737"/>
          <c:y val="0.14814859468012961"/>
          <c:w val="0.8102415596773517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FE-476A-A447-EF59E56080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FE-476A-A447-EF59E56080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1.5943654412694741E-2</c:v>
                </c:pt>
                <c:pt idx="1">
                  <c:v>3.764617329579778E-3</c:v>
                </c:pt>
                <c:pt idx="2">
                  <c:v>-8.6800881763338111E-3</c:v>
                </c:pt>
                <c:pt idx="3">
                  <c:v>-1.0929292628134135E-2</c:v>
                </c:pt>
                <c:pt idx="11">
                  <c:v>-1.3446468801703304E-3</c:v>
                </c:pt>
                <c:pt idx="12">
                  <c:v>-4.8389148869318888E-3</c:v>
                </c:pt>
                <c:pt idx="15">
                  <c:v>-4.9692751417751424E-3</c:v>
                </c:pt>
                <c:pt idx="16">
                  <c:v>-2.0635431501432322E-3</c:v>
                </c:pt>
                <c:pt idx="20">
                  <c:v>-5.6174531418946572E-3</c:v>
                </c:pt>
                <c:pt idx="24">
                  <c:v>-1.8928207427961752E-3</c:v>
                </c:pt>
                <c:pt idx="25">
                  <c:v>-6.0870887464261614E-3</c:v>
                </c:pt>
                <c:pt idx="26">
                  <c:v>-2.681356760149356E-3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FE-476A-A447-EF59E56080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4">
                  <c:v>-8.2560732698766515E-4</c:v>
                </c:pt>
                <c:pt idx="5">
                  <c:v>-4.4729588989866897E-4</c:v>
                </c:pt>
                <c:pt idx="6">
                  <c:v>-1.4589866987080313E-3</c:v>
                </c:pt>
                <c:pt idx="7">
                  <c:v>2.9467452986864373E-3</c:v>
                </c:pt>
                <c:pt idx="8">
                  <c:v>-3.1374632089864463E-4</c:v>
                </c:pt>
                <c:pt idx="9">
                  <c:v>-2.4111849998007528E-3</c:v>
                </c:pt>
                <c:pt idx="10">
                  <c:v>1.0194227797910571E-5</c:v>
                </c:pt>
                <c:pt idx="13">
                  <c:v>-1.9152878157910891E-3</c:v>
                </c:pt>
                <c:pt idx="14">
                  <c:v>-1.6303906086250208E-3</c:v>
                </c:pt>
                <c:pt idx="17">
                  <c:v>-3.1089033218449913E-3</c:v>
                </c:pt>
                <c:pt idx="18">
                  <c:v>-5.3567963332170621E-3</c:v>
                </c:pt>
                <c:pt idx="19">
                  <c:v>-7.1764785388950258E-3</c:v>
                </c:pt>
                <c:pt idx="21">
                  <c:v>-3.8394902221625671E-3</c:v>
                </c:pt>
                <c:pt idx="22">
                  <c:v>-5.6693196747801267E-3</c:v>
                </c:pt>
                <c:pt idx="23">
                  <c:v>-5.9212370251771063E-4</c:v>
                </c:pt>
                <c:pt idx="27">
                  <c:v>-2.8840559898526408E-3</c:v>
                </c:pt>
                <c:pt idx="28">
                  <c:v>2.0777449317392893E-3</c:v>
                </c:pt>
                <c:pt idx="29">
                  <c:v>-5.5630432398174889E-3</c:v>
                </c:pt>
                <c:pt idx="30">
                  <c:v>1.1969567567575723E-3</c:v>
                </c:pt>
                <c:pt idx="31">
                  <c:v>4.267384676495567E-3</c:v>
                </c:pt>
                <c:pt idx="32">
                  <c:v>7.1570996806258336E-3</c:v>
                </c:pt>
                <c:pt idx="33">
                  <c:v>1.3412452433840372E-2</c:v>
                </c:pt>
                <c:pt idx="34">
                  <c:v>9.516124046058394E-3</c:v>
                </c:pt>
                <c:pt idx="35">
                  <c:v>1.5491199214011431E-2</c:v>
                </c:pt>
                <c:pt idx="36">
                  <c:v>1.5720897303253878E-2</c:v>
                </c:pt>
                <c:pt idx="37">
                  <c:v>1.6026629295083694E-2</c:v>
                </c:pt>
                <c:pt idx="38">
                  <c:v>1.7903240317536984E-2</c:v>
                </c:pt>
                <c:pt idx="39">
                  <c:v>1.7796383624954615E-2</c:v>
                </c:pt>
                <c:pt idx="40">
                  <c:v>3.0693410779349506E-2</c:v>
                </c:pt>
                <c:pt idx="41">
                  <c:v>3.0693410779349506E-2</c:v>
                </c:pt>
                <c:pt idx="42">
                  <c:v>3.0693410779349506E-2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FE-476A-A447-EF59E56080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FE-476A-A447-EF59E56080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FE-476A-A447-EF59E56080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FE-476A-A447-EF59E56080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3">
                  <c:v>-9.1580022430986195E-3</c:v>
                </c:pt>
                <c:pt idx="14">
                  <c:v>-5.9514919006293417E-3</c:v>
                </c:pt>
                <c:pt idx="15">
                  <c:v>-5.8602085063340116E-3</c:v>
                </c:pt>
                <c:pt idx="16">
                  <c:v>-5.85875956356742E-3</c:v>
                </c:pt>
                <c:pt idx="17">
                  <c:v>-5.8297807082355671E-3</c:v>
                </c:pt>
                <c:pt idx="18">
                  <c:v>-5.6573565190110552E-3</c:v>
                </c:pt>
                <c:pt idx="19">
                  <c:v>-5.2806313996969986E-3</c:v>
                </c:pt>
                <c:pt idx="20">
                  <c:v>-2.7884498411578362E-3</c:v>
                </c:pt>
                <c:pt idx="21">
                  <c:v>-2.6044341098005845E-3</c:v>
                </c:pt>
                <c:pt idx="22">
                  <c:v>-2.3566648967132606E-3</c:v>
                </c:pt>
                <c:pt idx="23">
                  <c:v>-2.3523180684134858E-3</c:v>
                </c:pt>
                <c:pt idx="24">
                  <c:v>-2.1755470508891955E-3</c:v>
                </c:pt>
                <c:pt idx="25">
                  <c:v>-2.1740981081226039E-3</c:v>
                </c:pt>
                <c:pt idx="26">
                  <c:v>-2.1726491653560089E-3</c:v>
                </c:pt>
                <c:pt idx="27">
                  <c:v>-2.0277548886967582E-3</c:v>
                </c:pt>
                <c:pt idx="28">
                  <c:v>-1.7785367328428392E-3</c:v>
                </c:pt>
                <c:pt idx="29">
                  <c:v>1.6641512805810228E-3</c:v>
                </c:pt>
                <c:pt idx="30">
                  <c:v>1.6641512805810228E-3</c:v>
                </c:pt>
                <c:pt idx="31">
                  <c:v>5.0894519808057717E-3</c:v>
                </c:pt>
                <c:pt idx="32">
                  <c:v>7.9887864567574352E-3</c:v>
                </c:pt>
                <c:pt idx="33">
                  <c:v>8.543731536362377E-3</c:v>
                </c:pt>
                <c:pt idx="34">
                  <c:v>8.6103829036256324E-3</c:v>
                </c:pt>
                <c:pt idx="35">
                  <c:v>1.1480738524245443E-2</c:v>
                </c:pt>
                <c:pt idx="36">
                  <c:v>1.1806750646728766E-2</c:v>
                </c:pt>
                <c:pt idx="37">
                  <c:v>1.1808199589495354E-2</c:v>
                </c:pt>
                <c:pt idx="38">
                  <c:v>1.8779063239572041E-2</c:v>
                </c:pt>
                <c:pt idx="39">
                  <c:v>1.5529084614104988E-2</c:v>
                </c:pt>
                <c:pt idx="40">
                  <c:v>3.2704852169292892E-2</c:v>
                </c:pt>
                <c:pt idx="41">
                  <c:v>3.2704852169292892E-2</c:v>
                </c:pt>
                <c:pt idx="42">
                  <c:v>3.2704852169292892E-2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FE-476A-A447-EF59E560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567304"/>
        <c:axId val="1"/>
      </c:scatterChart>
      <c:valAx>
        <c:axId val="55556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087499604717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56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5196534168167"/>
          <c:y val="0.91975600272188196"/>
          <c:w val="0.6295185466274546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2532-0514 - O-C Diagr.</a:t>
            </a:r>
          </a:p>
        </c:rich>
      </c:tx>
      <c:layout>
        <c:manualLayout>
          <c:xMode val="edge"/>
          <c:yMode val="edge"/>
          <c:x val="0.2809919524522244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2397463356170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  <c:pt idx="1">
                  <c:v>1.0367000002588611E-2</c:v>
                </c:pt>
                <c:pt idx="2">
                  <c:v>-9.9049999989802018E-3</c:v>
                </c:pt>
                <c:pt idx="3">
                  <c:v>-1.139800000237301E-2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1-4449-BF3D-FD4A2CE7259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">
                  <c:v>6.3724999999976717E-2</c:v>
                </c:pt>
                <c:pt idx="5">
                  <c:v>6.50450000030105E-2</c:v>
                </c:pt>
                <c:pt idx="8">
                  <c:v>0.23726500000339001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11-4449-BF3D-FD4A2CE7259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6">
                  <c:v>0.16282499999942956</c:v>
                </c:pt>
                <c:pt idx="7">
                  <c:v>0.16724500000418629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11-4449-BF3D-FD4A2CE7259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11-4449-BF3D-FD4A2CE7259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11-4449-BF3D-FD4A2CE7259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11-4449-BF3D-FD4A2CE7259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11-4449-BF3D-FD4A2CE7259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-3.7646173329261012E-3</c:v>
                </c:pt>
                <c:pt idx="1">
                  <c:v>-5.5766544115228266E-3</c:v>
                </c:pt>
                <c:pt idx="2">
                  <c:v>-1.2249118211921086E-3</c:v>
                </c:pt>
                <c:pt idx="3">
                  <c:v>-4.6870737106906616E-4</c:v>
                </c:pt>
                <c:pt idx="4">
                  <c:v>6.4550607331019721E-2</c:v>
                </c:pt>
                <c:pt idx="5">
                  <c:v>6.5492295891550298E-2</c:v>
                </c:pt>
                <c:pt idx="6">
                  <c:v>0.16428398669630404</c:v>
                </c:pt>
                <c:pt idx="7">
                  <c:v>0.16429825470479692</c:v>
                </c:pt>
                <c:pt idx="8">
                  <c:v>0.23757874632426762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11-4449-BF3D-FD4A2CE72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7424"/>
        <c:axId val="1"/>
      </c:scatterChart>
      <c:valAx>
        <c:axId val="5585074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07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5123966942148761E-2"/>
          <c:y val="0.91925596256989606"/>
          <c:w val="0.9917364048502201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104775</xdr:rowOff>
    </xdr:from>
    <xdr:to>
      <xdr:col>17</xdr:col>
      <xdr:colOff>142875</xdr:colOff>
      <xdr:row>18</xdr:row>
      <xdr:rowOff>123825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4D42DF76-B90E-341F-B6D0-D8635FB30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BB754C5-DAFC-3FEC-43E4-F706FCFC8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784" TargetMode="External"/><Relationship Id="rId21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784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konkoly.hu/cgi-bin/IBVS?5224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0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bav-astro.de/sfs/BAVM_link.php?BAVMnr=234" TargetMode="External"/><Relationship Id="rId23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220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875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www.konkoly.hu/cgi-bin/IBVS?5992" TargetMode="External"/><Relationship Id="rId22" Type="http://schemas.openxmlformats.org/officeDocument/2006/relationships/hyperlink" Target="http://www.konkoly.hu/cgi-bin/IBVS?6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Q63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21" t="s">
        <v>37</v>
      </c>
      <c r="B1" s="19"/>
      <c r="C1" s="19"/>
      <c r="D1" s="30"/>
      <c r="E1" s="19"/>
      <c r="F1" s="19"/>
    </row>
    <row r="2" spans="1:6">
      <c r="A2" s="20" t="s">
        <v>26</v>
      </c>
      <c r="B2" s="60" t="s">
        <v>50</v>
      </c>
      <c r="C2" s="19"/>
      <c r="D2" s="19"/>
      <c r="E2" s="19"/>
      <c r="F2" s="19"/>
    </row>
    <row r="3" spans="1:6" ht="13.5" thickBot="1"/>
    <row r="4" spans="1:6" ht="13.5" thickBot="1">
      <c r="A4" s="4" t="s">
        <v>2</v>
      </c>
      <c r="C4" s="28" t="s">
        <v>32</v>
      </c>
      <c r="D4" s="29" t="s">
        <v>32</v>
      </c>
    </row>
    <row r="5" spans="1:6">
      <c r="A5" s="31" t="s">
        <v>38</v>
      </c>
      <c r="B5" s="20"/>
      <c r="C5" s="32">
        <v>-9.5</v>
      </c>
      <c r="D5" s="20" t="s">
        <v>39</v>
      </c>
    </row>
    <row r="6" spans="1:6">
      <c r="A6" s="4" t="s">
        <v>3</v>
      </c>
      <c r="D6" s="59" t="s">
        <v>49</v>
      </c>
    </row>
    <row r="7" spans="1:6">
      <c r="A7" s="19" t="s">
        <v>4</v>
      </c>
      <c r="B7" s="19"/>
      <c r="C7" s="19">
        <v>53831.773319478314</v>
      </c>
      <c r="D7" s="59" t="s">
        <v>47</v>
      </c>
    </row>
    <row r="8" spans="1:6">
      <c r="A8" s="19" t="s">
        <v>5</v>
      </c>
      <c r="B8" s="19"/>
      <c r="C8" s="19">
        <v>0.30198853601698578</v>
      </c>
      <c r="D8" s="59" t="s">
        <v>48</v>
      </c>
    </row>
    <row r="9" spans="1:6">
      <c r="A9" s="64" t="s">
        <v>51</v>
      </c>
      <c r="B9" s="65">
        <v>42</v>
      </c>
      <c r="C9" s="62" t="str">
        <f>"F"&amp;B9</f>
        <v>F42</v>
      </c>
      <c r="D9" s="63" t="str">
        <f>"G"&amp;B9</f>
        <v>G42</v>
      </c>
    </row>
    <row r="10" spans="1:6" ht="13.5" thickBot="1">
      <c r="A10" s="20"/>
      <c r="B10" s="20"/>
      <c r="C10" s="3" t="s">
        <v>22</v>
      </c>
      <c r="D10" s="3" t="s">
        <v>23</v>
      </c>
      <c r="E10" s="20"/>
    </row>
    <row r="11" spans="1:6">
      <c r="A11" s="20" t="s">
        <v>17</v>
      </c>
      <c r="B11" s="20"/>
      <c r="C11" s="61">
        <f ca="1">INTERCEPT(INDIRECT($D$9):G988,INDIRECT($C$9):F988)</f>
        <v>-2.3062057031320582E-2</v>
      </c>
      <c r="D11" s="2"/>
      <c r="E11" s="20"/>
    </row>
    <row r="12" spans="1:6">
      <c r="A12" s="20" t="s">
        <v>18</v>
      </c>
      <c r="B12" s="20"/>
      <c r="C12" s="61">
        <f ca="1">SLOPE(INDIRECT($D$9):G988,INDIRECT($C$9):F988)</f>
        <v>2.8978855331850692E-6</v>
      </c>
      <c r="D12" s="2"/>
      <c r="E12" s="20"/>
    </row>
    <row r="13" spans="1:6">
      <c r="A13" s="20" t="s">
        <v>21</v>
      </c>
      <c r="B13" s="20"/>
      <c r="C13" s="2" t="s">
        <v>15</v>
      </c>
    </row>
    <row r="14" spans="1:6">
      <c r="A14" s="20"/>
      <c r="B14" s="20"/>
      <c r="C14" s="20"/>
    </row>
    <row r="15" spans="1:6">
      <c r="A15" s="33" t="s">
        <v>19</v>
      </c>
      <c r="B15" s="20"/>
      <c r="C15" s="34">
        <f ca="1">(C7+C11)+(C8+C12)*INT(MAX(F21:F3529))</f>
        <v>59643.273411441362</v>
      </c>
      <c r="E15" s="35" t="s">
        <v>55</v>
      </c>
      <c r="F15" s="32">
        <v>1</v>
      </c>
    </row>
    <row r="16" spans="1:6">
      <c r="A16" s="24" t="s">
        <v>6</v>
      </c>
      <c r="B16" s="20"/>
      <c r="C16" s="37">
        <f ca="1">+C8+C12</f>
        <v>0.30199143390251898</v>
      </c>
      <c r="E16" s="35" t="s">
        <v>40</v>
      </c>
      <c r="F16" s="36">
        <f ca="1">NOW()+15018.5+$C$5/24</f>
        <v>60339.645934027772</v>
      </c>
    </row>
    <row r="17" spans="1:17" ht="13.5" thickBot="1">
      <c r="A17" s="35" t="s">
        <v>35</v>
      </c>
      <c r="B17" s="20"/>
      <c r="C17" s="20">
        <f>COUNT(C21:C2187)</f>
        <v>43</v>
      </c>
      <c r="E17" s="35" t="s">
        <v>56</v>
      </c>
      <c r="F17" s="36">
        <f ca="1">ROUND(2*(F16-$C$7)/$C$8,0)/2+F15</f>
        <v>21551</v>
      </c>
    </row>
    <row r="18" spans="1:17" ht="14.25" thickTop="1" thickBot="1">
      <c r="A18" s="24" t="s">
        <v>7</v>
      </c>
      <c r="B18" s="20"/>
      <c r="C18" s="39">
        <f ca="1">+C15</f>
        <v>59643.273411441362</v>
      </c>
      <c r="D18" s="40">
        <f ca="1">+C16</f>
        <v>0.30199143390251898</v>
      </c>
      <c r="E18" s="35" t="s">
        <v>41</v>
      </c>
      <c r="F18" s="63">
        <f ca="1">ROUND(2*(F16-$C$15)/$C$16,0)/2+F15</f>
        <v>2307</v>
      </c>
    </row>
    <row r="19" spans="1:17" ht="13.5" thickTop="1">
      <c r="E19" s="35" t="s">
        <v>42</v>
      </c>
      <c r="F19" s="38">
        <f ca="1">+$C$15+$C$16*F18-15018.5-$C$5/24</f>
        <v>45321.863482787805</v>
      </c>
    </row>
    <row r="20" spans="1:17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74</v>
      </c>
      <c r="I20" s="6" t="s">
        <v>77</v>
      </c>
      <c r="J20" s="6" t="s">
        <v>71</v>
      </c>
      <c r="K20" s="6" t="s">
        <v>69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16</v>
      </c>
    </row>
    <row r="21" spans="1:17">
      <c r="A21" s="22" t="s">
        <v>30</v>
      </c>
      <c r="B21" s="22"/>
      <c r="C21" s="44">
        <v>51258.695941999998</v>
      </c>
      <c r="D21" s="44"/>
      <c r="E21">
        <f t="shared" ref="E21:E58" si="0">+(C21-C$7)/C$8</f>
        <v>-8520.4472044382146</v>
      </c>
      <c r="F21">
        <f t="shared" ref="F21:F60" si="1">ROUND(2*E21,0)/2</f>
        <v>-8520.5</v>
      </c>
      <c r="G21">
        <f t="shared" ref="G21:G58" si="2">C21-($C$7+$C$8*$F21)</f>
        <v>1.5943654412694741E-2</v>
      </c>
      <c r="J21">
        <f>+G21</f>
        <v>1.5943654412694741E-2</v>
      </c>
      <c r="Q21" s="1">
        <f t="shared" ref="Q21:Q58" si="3">+C21-15018.5</f>
        <v>36240.195941999998</v>
      </c>
    </row>
    <row r="22" spans="1:17">
      <c r="A22" s="19" t="s">
        <v>30</v>
      </c>
      <c r="B22" s="19"/>
      <c r="C22" s="45">
        <v>51277.860034999998</v>
      </c>
      <c r="D22" s="45"/>
      <c r="E22">
        <f t="shared" si="0"/>
        <v>-8456.9875339064783</v>
      </c>
      <c r="F22">
        <f t="shared" si="1"/>
        <v>-8457</v>
      </c>
      <c r="G22">
        <f t="shared" si="2"/>
        <v>3.764617329579778E-3</v>
      </c>
      <c r="J22">
        <f>+G22</f>
        <v>3.764617329579778E-3</v>
      </c>
      <c r="Q22" s="1">
        <f t="shared" si="3"/>
        <v>36259.360034999998</v>
      </c>
    </row>
    <row r="23" spans="1:17">
      <c r="A23" s="19" t="s">
        <v>30</v>
      </c>
      <c r="B23" s="19"/>
      <c r="C23" s="45">
        <v>51304.724569999998</v>
      </c>
      <c r="D23" s="45"/>
      <c r="E23">
        <f t="shared" si="0"/>
        <v>-8368.028743104931</v>
      </c>
      <c r="F23">
        <f t="shared" si="1"/>
        <v>-8368</v>
      </c>
      <c r="G23">
        <f t="shared" si="2"/>
        <v>-8.6800881763338111E-3</v>
      </c>
      <c r="J23">
        <f>+G23</f>
        <v>-8.6800881763338111E-3</v>
      </c>
      <c r="Q23" s="1">
        <f t="shared" si="3"/>
        <v>36286.224569999998</v>
      </c>
    </row>
    <row r="24" spans="1:17">
      <c r="A24" s="19" t="s">
        <v>30</v>
      </c>
      <c r="B24" s="19"/>
      <c r="C24" s="45">
        <v>51312.725016999997</v>
      </c>
      <c r="D24" s="45"/>
      <c r="E24">
        <f t="shared" si="0"/>
        <v>-8341.5361910845168</v>
      </c>
      <c r="F24">
        <f t="shared" si="1"/>
        <v>-8341.5</v>
      </c>
      <c r="G24">
        <f t="shared" si="2"/>
        <v>-1.0929292628134135E-2</v>
      </c>
      <c r="J24">
        <f>+G24</f>
        <v>-1.0929292628134135E-2</v>
      </c>
      <c r="Q24" s="1">
        <f t="shared" si="3"/>
        <v>36294.225016999997</v>
      </c>
    </row>
    <row r="25" spans="1:17">
      <c r="A25" s="23" t="s">
        <v>31</v>
      </c>
      <c r="B25" s="19"/>
      <c r="C25" s="45">
        <v>52000.815999999999</v>
      </c>
      <c r="D25" s="45">
        <v>1E-4</v>
      </c>
      <c r="E25">
        <f t="shared" si="0"/>
        <v>-6063.0027339028866</v>
      </c>
      <c r="F25">
        <f t="shared" si="1"/>
        <v>-6063</v>
      </c>
      <c r="G25">
        <f t="shared" si="2"/>
        <v>-8.2560732698766515E-4</v>
      </c>
      <c r="K25">
        <f t="shared" ref="K25:K31" si="4">+G25</f>
        <v>-8.2560732698766515E-4</v>
      </c>
      <c r="Q25" s="1">
        <f t="shared" si="3"/>
        <v>36982.315999999999</v>
      </c>
    </row>
    <row r="26" spans="1:17">
      <c r="A26" s="23" t="s">
        <v>31</v>
      </c>
      <c r="B26" s="19"/>
      <c r="C26" s="45">
        <v>52010.781999999999</v>
      </c>
      <c r="D26" s="45">
        <v>1E-4</v>
      </c>
      <c r="E26">
        <f t="shared" si="0"/>
        <v>-6030.0014811684459</v>
      </c>
      <c r="F26">
        <f t="shared" si="1"/>
        <v>-6030</v>
      </c>
      <c r="G26">
        <f t="shared" si="2"/>
        <v>-4.4729588989866897E-4</v>
      </c>
      <c r="K26">
        <f t="shared" si="4"/>
        <v>-4.4729588989866897E-4</v>
      </c>
      <c r="Q26" s="1">
        <f t="shared" si="3"/>
        <v>36992.281999999999</v>
      </c>
    </row>
    <row r="27" spans="1:17">
      <c r="A27" s="51" t="s">
        <v>44</v>
      </c>
      <c r="B27" s="53" t="s">
        <v>45</v>
      </c>
      <c r="C27" s="55">
        <v>53056.265299999999</v>
      </c>
      <c r="D27" s="55">
        <v>5.0000000000000001E-4</v>
      </c>
      <c r="E27">
        <f t="shared" si="0"/>
        <v>-2568.0048312651688</v>
      </c>
      <c r="F27">
        <f t="shared" si="1"/>
        <v>-2568</v>
      </c>
      <c r="G27">
        <f t="shared" si="2"/>
        <v>-1.4589866987080313E-3</v>
      </c>
      <c r="K27">
        <f t="shared" si="4"/>
        <v>-1.4589866987080313E-3</v>
      </c>
      <c r="Q27" s="1">
        <f t="shared" si="3"/>
        <v>38037.765299999999</v>
      </c>
    </row>
    <row r="28" spans="1:17">
      <c r="A28" s="42" t="s">
        <v>44</v>
      </c>
      <c r="B28" s="13" t="s">
        <v>34</v>
      </c>
      <c r="C28" s="43">
        <v>53056.420700000002</v>
      </c>
      <c r="D28" s="43">
        <v>5.0000000000000001E-4</v>
      </c>
      <c r="E28">
        <f t="shared" si="0"/>
        <v>-2567.4902421948259</v>
      </c>
      <c r="F28">
        <f t="shared" si="1"/>
        <v>-2567.5</v>
      </c>
      <c r="G28">
        <f t="shared" si="2"/>
        <v>2.9467452986864373E-3</v>
      </c>
      <c r="K28">
        <f t="shared" si="4"/>
        <v>2.9467452986864373E-3</v>
      </c>
      <c r="Q28" s="1">
        <f t="shared" si="3"/>
        <v>38037.920700000002</v>
      </c>
    </row>
    <row r="29" spans="1:17">
      <c r="A29" s="67" t="s">
        <v>36</v>
      </c>
      <c r="B29" s="68" t="s">
        <v>34</v>
      </c>
      <c r="C29" s="54">
        <v>53831.923999999999</v>
      </c>
      <c r="D29" s="56">
        <v>1E-3</v>
      </c>
      <c r="E29" s="15">
        <f t="shared" si="0"/>
        <v>0.49896106545089036</v>
      </c>
      <c r="F29">
        <f t="shared" si="1"/>
        <v>0.5</v>
      </c>
      <c r="G29">
        <f t="shared" si="2"/>
        <v>-3.1374632089864463E-4</v>
      </c>
      <c r="K29">
        <f t="shared" si="4"/>
        <v>-3.1374632089864463E-4</v>
      </c>
      <c r="Q29" s="1">
        <f t="shared" si="3"/>
        <v>38813.423999999999</v>
      </c>
    </row>
    <row r="30" spans="1:17">
      <c r="A30" s="69" t="s">
        <v>52</v>
      </c>
      <c r="B30" s="68" t="s">
        <v>34</v>
      </c>
      <c r="C30" s="66">
        <v>54804.023000000001</v>
      </c>
      <c r="D30" s="56">
        <v>1E-3</v>
      </c>
      <c r="E30" s="15">
        <f t="shared" si="0"/>
        <v>3219.4920156406247</v>
      </c>
      <c r="F30">
        <f t="shared" si="1"/>
        <v>3219.5</v>
      </c>
      <c r="G30">
        <f t="shared" si="2"/>
        <v>-2.4111849998007528E-3</v>
      </c>
      <c r="K30">
        <f t="shared" si="4"/>
        <v>-2.4111849998007528E-3</v>
      </c>
      <c r="Q30" s="1">
        <f t="shared" si="3"/>
        <v>39785.523000000001</v>
      </c>
    </row>
    <row r="31" spans="1:17">
      <c r="A31" s="11" t="s">
        <v>53</v>
      </c>
      <c r="B31" s="70" t="s">
        <v>34</v>
      </c>
      <c r="C31" s="11">
        <v>54888.8842</v>
      </c>
      <c r="D31" s="11">
        <v>6.9999999999999999E-4</v>
      </c>
      <c r="E31" s="15">
        <f t="shared" si="0"/>
        <v>3500.5000337570023</v>
      </c>
      <c r="F31">
        <f t="shared" si="1"/>
        <v>3500.5</v>
      </c>
      <c r="G31">
        <f t="shared" si="2"/>
        <v>1.0194227797910571E-5</v>
      </c>
      <c r="K31">
        <f t="shared" si="4"/>
        <v>1.0194227797910571E-5</v>
      </c>
      <c r="Q31" s="1">
        <f t="shared" si="3"/>
        <v>39870.3842</v>
      </c>
    </row>
    <row r="32" spans="1:17">
      <c r="A32" s="42" t="s">
        <v>57</v>
      </c>
      <c r="B32" s="71" t="s">
        <v>34</v>
      </c>
      <c r="C32" s="42">
        <v>54908.5121</v>
      </c>
      <c r="D32" s="42">
        <v>6.9999999999999999E-4</v>
      </c>
      <c r="E32" s="15">
        <f t="shared" si="0"/>
        <v>3565.4955473578743</v>
      </c>
      <c r="F32">
        <f t="shared" si="1"/>
        <v>3565.5</v>
      </c>
      <c r="G32">
        <f t="shared" si="2"/>
        <v>-1.3446468801703304E-3</v>
      </c>
      <c r="J32">
        <f>G32</f>
        <v>-1.3446468801703304E-3</v>
      </c>
      <c r="Q32" s="1">
        <f t="shared" si="3"/>
        <v>39890.0121</v>
      </c>
    </row>
    <row r="33" spans="1:17">
      <c r="A33" s="42" t="s">
        <v>57</v>
      </c>
      <c r="B33" s="71" t="s">
        <v>45</v>
      </c>
      <c r="C33" s="42">
        <v>54908.659599999999</v>
      </c>
      <c r="D33" s="42">
        <v>4.1999999999999997E-3</v>
      </c>
      <c r="E33" s="15">
        <f t="shared" si="0"/>
        <v>3565.9839764947696</v>
      </c>
      <c r="F33">
        <f t="shared" si="1"/>
        <v>3566</v>
      </c>
      <c r="G33">
        <f t="shared" si="2"/>
        <v>-4.8389148869318888E-3</v>
      </c>
      <c r="J33">
        <f>G33</f>
        <v>-4.8389148869318888E-3</v>
      </c>
      <c r="Q33" s="1">
        <f t="shared" si="3"/>
        <v>39890.159599999999</v>
      </c>
    </row>
    <row r="34" spans="1:17">
      <c r="A34" s="42" t="s">
        <v>54</v>
      </c>
      <c r="B34" s="71" t="s">
        <v>45</v>
      </c>
      <c r="C34" s="42">
        <v>55280.712399999997</v>
      </c>
      <c r="D34" s="42">
        <v>5.0000000000000001E-4</v>
      </c>
      <c r="E34" s="15">
        <f t="shared" si="0"/>
        <v>4797.9936577466142</v>
      </c>
      <c r="F34">
        <f t="shared" si="1"/>
        <v>4798</v>
      </c>
      <c r="G34">
        <f t="shared" si="2"/>
        <v>-1.9152878157910891E-3</v>
      </c>
      <c r="K34">
        <f>+G34</f>
        <v>-1.9152878157910891E-3</v>
      </c>
      <c r="O34">
        <f t="shared" ref="O34:O58" ca="1" si="5">+C$11+C$12*$F34</f>
        <v>-9.1580022430986195E-3</v>
      </c>
      <c r="Q34" s="1">
        <f t="shared" si="3"/>
        <v>40262.212399999997</v>
      </c>
    </row>
    <row r="35" spans="1:17">
      <c r="A35" s="42" t="s">
        <v>58</v>
      </c>
      <c r="B35" s="71" t="s">
        <v>34</v>
      </c>
      <c r="C35" s="42">
        <v>55614.862999999998</v>
      </c>
      <c r="D35" s="42">
        <v>4.0000000000000002E-4</v>
      </c>
      <c r="E35" s="15">
        <f t="shared" si="0"/>
        <v>5904.4946011506581</v>
      </c>
      <c r="F35">
        <f t="shared" si="1"/>
        <v>5904.5</v>
      </c>
      <c r="G35">
        <f t="shared" si="2"/>
        <v>-1.6303906086250208E-3</v>
      </c>
      <c r="K35">
        <f>+G35</f>
        <v>-1.6303906086250208E-3</v>
      </c>
      <c r="O35">
        <f t="shared" ca="1" si="5"/>
        <v>-5.9514919006293417E-3</v>
      </c>
      <c r="Q35" s="1">
        <f t="shared" si="3"/>
        <v>40596.362999999998</v>
      </c>
    </row>
    <row r="36" spans="1:17">
      <c r="A36" s="42" t="s">
        <v>59</v>
      </c>
      <c r="B36" s="71" t="s">
        <v>45</v>
      </c>
      <c r="C36" s="42">
        <v>55624.372300000003</v>
      </c>
      <c r="D36" s="42">
        <v>1.1999999999999999E-3</v>
      </c>
      <c r="E36" s="15">
        <f t="shared" si="0"/>
        <v>5935.9835448219183</v>
      </c>
      <c r="F36">
        <f t="shared" si="1"/>
        <v>5936</v>
      </c>
      <c r="G36">
        <f t="shared" si="2"/>
        <v>-4.9692751417751424E-3</v>
      </c>
      <c r="J36">
        <f>G36</f>
        <v>-4.9692751417751424E-3</v>
      </c>
      <c r="O36">
        <f t="shared" ca="1" si="5"/>
        <v>-5.8602085063340116E-3</v>
      </c>
      <c r="Q36" s="1">
        <f t="shared" si="3"/>
        <v>40605.872300000003</v>
      </c>
    </row>
    <row r="37" spans="1:17">
      <c r="A37" s="42" t="s">
        <v>59</v>
      </c>
      <c r="B37" s="71" t="s">
        <v>34</v>
      </c>
      <c r="C37" s="42">
        <v>55624.5262</v>
      </c>
      <c r="D37" s="42">
        <v>2.5000000000000001E-3</v>
      </c>
      <c r="E37" s="15">
        <f t="shared" si="0"/>
        <v>5936.4931668162735</v>
      </c>
      <c r="F37">
        <f t="shared" si="1"/>
        <v>5936.5</v>
      </c>
      <c r="G37">
        <f t="shared" si="2"/>
        <v>-2.0635431501432322E-3</v>
      </c>
      <c r="J37">
        <f>G37</f>
        <v>-2.0635431501432322E-3</v>
      </c>
      <c r="O37">
        <f t="shared" ca="1" si="5"/>
        <v>-5.85875956356742E-3</v>
      </c>
      <c r="Q37" s="1">
        <f t="shared" si="3"/>
        <v>40606.0262</v>
      </c>
    </row>
    <row r="38" spans="1:17">
      <c r="A38" s="72" t="s">
        <v>62</v>
      </c>
      <c r="B38" s="73" t="s">
        <v>34</v>
      </c>
      <c r="C38" s="74">
        <v>55627.545039999997</v>
      </c>
      <c r="D38" s="74">
        <v>2.0000000000000001E-4</v>
      </c>
      <c r="E38" s="15">
        <f t="shared" si="0"/>
        <v>5946.4897052273445</v>
      </c>
      <c r="F38">
        <f t="shared" si="1"/>
        <v>5946.5</v>
      </c>
      <c r="G38">
        <f t="shared" si="2"/>
        <v>-3.1089033218449913E-3</v>
      </c>
      <c r="K38">
        <f>+G38</f>
        <v>-3.1089033218449913E-3</v>
      </c>
      <c r="O38">
        <f t="shared" ca="1" si="5"/>
        <v>-5.8297807082355671E-3</v>
      </c>
      <c r="Q38" s="1">
        <f t="shared" si="3"/>
        <v>40609.045039999997</v>
      </c>
    </row>
    <row r="39" spans="1:17">
      <c r="A39" s="72" t="s">
        <v>62</v>
      </c>
      <c r="B39" s="73" t="s">
        <v>45</v>
      </c>
      <c r="C39" s="74">
        <v>55645.511109999999</v>
      </c>
      <c r="D39" s="74">
        <v>1E-4</v>
      </c>
      <c r="E39" s="15">
        <f t="shared" si="0"/>
        <v>6005.9822615904504</v>
      </c>
      <c r="F39">
        <f t="shared" si="1"/>
        <v>6006</v>
      </c>
      <c r="G39">
        <f t="shared" si="2"/>
        <v>-5.3567963332170621E-3</v>
      </c>
      <c r="K39">
        <f>+G39</f>
        <v>-5.3567963332170621E-3</v>
      </c>
      <c r="O39">
        <f t="shared" ca="1" si="5"/>
        <v>-5.6573565190110552E-3</v>
      </c>
      <c r="Q39" s="1">
        <f t="shared" si="3"/>
        <v>40627.011109999999</v>
      </c>
    </row>
    <row r="40" spans="1:17">
      <c r="A40" s="75" t="s">
        <v>58</v>
      </c>
      <c r="B40" s="76" t="s">
        <v>45</v>
      </c>
      <c r="C40" s="75">
        <v>55684.767800000001</v>
      </c>
      <c r="D40" s="75">
        <v>2.9999999999999997E-4</v>
      </c>
      <c r="E40" s="15">
        <f t="shared" si="0"/>
        <v>6135.9762359239458</v>
      </c>
      <c r="F40">
        <f t="shared" si="1"/>
        <v>6136</v>
      </c>
      <c r="G40">
        <f t="shared" si="2"/>
        <v>-7.1764785388950258E-3</v>
      </c>
      <c r="K40">
        <f>+G40</f>
        <v>-7.1764785388950258E-3</v>
      </c>
      <c r="O40">
        <f t="shared" ca="1" si="5"/>
        <v>-5.2806313996969986E-3</v>
      </c>
      <c r="Q40" s="1">
        <f t="shared" si="3"/>
        <v>40666.267800000001</v>
      </c>
    </row>
    <row r="41" spans="1:17">
      <c r="A41" s="80" t="s">
        <v>64</v>
      </c>
      <c r="B41" s="79" t="s">
        <v>45</v>
      </c>
      <c r="C41" s="74">
        <v>55944.479500000001</v>
      </c>
      <c r="D41" s="82">
        <v>2.0000000000000001E-4</v>
      </c>
      <c r="E41" s="15">
        <f t="shared" si="0"/>
        <v>6995.9813984556522</v>
      </c>
      <c r="F41">
        <f t="shared" si="1"/>
        <v>6996</v>
      </c>
      <c r="G41">
        <f t="shared" si="2"/>
        <v>-5.6174531418946572E-3</v>
      </c>
      <c r="J41">
        <f>G41</f>
        <v>-5.6174531418946572E-3</v>
      </c>
      <c r="O41">
        <f t="shared" ca="1" si="5"/>
        <v>-2.7884498411578362E-3</v>
      </c>
      <c r="Q41" s="1">
        <f t="shared" si="3"/>
        <v>40925.979500000001</v>
      </c>
    </row>
    <row r="42" spans="1:17">
      <c r="A42" s="72" t="s">
        <v>62</v>
      </c>
      <c r="B42" s="73" t="s">
        <v>34</v>
      </c>
      <c r="C42" s="74">
        <v>55963.657550000004</v>
      </c>
      <c r="D42" s="74">
        <v>2.0000000000000001E-4</v>
      </c>
      <c r="E42" s="15">
        <f t="shared" si="0"/>
        <v>7059.4872859735924</v>
      </c>
      <c r="F42">
        <f t="shared" si="1"/>
        <v>7059.5</v>
      </c>
      <c r="G42">
        <f t="shared" si="2"/>
        <v>-3.8394902221625671E-3</v>
      </c>
      <c r="K42">
        <f>+G42</f>
        <v>-3.8394902221625671E-3</v>
      </c>
      <c r="O42">
        <f t="shared" ca="1" si="5"/>
        <v>-2.6044341098005845E-3</v>
      </c>
      <c r="Q42" s="1">
        <f t="shared" si="3"/>
        <v>40945.157550000004</v>
      </c>
    </row>
    <row r="43" spans="1:17">
      <c r="A43" s="72" t="s">
        <v>62</v>
      </c>
      <c r="B43" s="73" t="s">
        <v>45</v>
      </c>
      <c r="C43" s="74">
        <v>55989.475740000002</v>
      </c>
      <c r="D43" s="74">
        <v>1E-4</v>
      </c>
      <c r="E43" s="15">
        <f t="shared" si="0"/>
        <v>7144.9812267056541</v>
      </c>
      <c r="F43">
        <f t="shared" si="1"/>
        <v>7145</v>
      </c>
      <c r="G43">
        <f t="shared" si="2"/>
        <v>-5.6693196747801267E-3</v>
      </c>
      <c r="K43">
        <f>G43</f>
        <v>-5.6693196747801267E-3</v>
      </c>
      <c r="O43">
        <f t="shared" ca="1" si="5"/>
        <v>-2.3566648967132606E-3</v>
      </c>
      <c r="Q43" s="1">
        <f t="shared" si="3"/>
        <v>40970.975740000002</v>
      </c>
    </row>
    <row r="44" spans="1:17">
      <c r="A44" s="74" t="s">
        <v>60</v>
      </c>
      <c r="B44" s="73" t="s">
        <v>34</v>
      </c>
      <c r="C44" s="74">
        <v>55989.933799999999</v>
      </c>
      <c r="D44" s="74">
        <v>6.9999999999999999E-4</v>
      </c>
      <c r="E44" s="15">
        <f t="shared" si="0"/>
        <v>7146.4980392510524</v>
      </c>
      <c r="F44">
        <f t="shared" si="1"/>
        <v>7146.5</v>
      </c>
      <c r="G44">
        <f t="shared" si="2"/>
        <v>-5.9212370251771063E-4</v>
      </c>
      <c r="K44">
        <f>+G44</f>
        <v>-5.9212370251771063E-4</v>
      </c>
      <c r="O44">
        <f t="shared" ca="1" si="5"/>
        <v>-2.3523180684134858E-3</v>
      </c>
      <c r="Q44" s="1">
        <f t="shared" si="3"/>
        <v>40971.433799999999</v>
      </c>
    </row>
    <row r="45" spans="1:17">
      <c r="A45" s="72" t="s">
        <v>63</v>
      </c>
      <c r="B45" s="73" t="s">
        <v>34</v>
      </c>
      <c r="C45" s="74">
        <v>56008.353799999997</v>
      </c>
      <c r="D45" s="74">
        <v>1E-3</v>
      </c>
      <c r="E45" s="15">
        <f t="shared" si="0"/>
        <v>7207.4937321437201</v>
      </c>
      <c r="F45">
        <f t="shared" si="1"/>
        <v>7207.5</v>
      </c>
      <c r="G45">
        <f t="shared" si="2"/>
        <v>-1.8928207427961752E-3</v>
      </c>
      <c r="J45">
        <f>G45</f>
        <v>-1.8928207427961752E-3</v>
      </c>
      <c r="O45">
        <f t="shared" ca="1" si="5"/>
        <v>-2.1755470508891955E-3</v>
      </c>
      <c r="Q45" s="1">
        <f t="shared" si="3"/>
        <v>40989.853799999997</v>
      </c>
    </row>
    <row r="46" spans="1:17">
      <c r="A46" s="72" t="s">
        <v>63</v>
      </c>
      <c r="B46" s="73" t="s">
        <v>45</v>
      </c>
      <c r="C46" s="74">
        <v>56008.500599999999</v>
      </c>
      <c r="D46" s="74">
        <v>1.6000000000000001E-3</v>
      </c>
      <c r="E46" s="15">
        <f t="shared" si="0"/>
        <v>7207.9798433118403</v>
      </c>
      <c r="F46">
        <f t="shared" si="1"/>
        <v>7208</v>
      </c>
      <c r="G46">
        <f t="shared" si="2"/>
        <v>-6.0870887464261614E-3</v>
      </c>
      <c r="J46">
        <f>G46</f>
        <v>-6.0870887464261614E-3</v>
      </c>
      <c r="O46">
        <f t="shared" ca="1" si="5"/>
        <v>-2.1740981081226039E-3</v>
      </c>
      <c r="Q46" s="1">
        <f t="shared" si="3"/>
        <v>40990.000599999999</v>
      </c>
    </row>
    <row r="47" spans="1:17">
      <c r="A47" s="72" t="s">
        <v>63</v>
      </c>
      <c r="B47" s="73" t="s">
        <v>34</v>
      </c>
      <c r="C47" s="74">
        <v>56008.654999999999</v>
      </c>
      <c r="D47" s="74">
        <v>4.0000000000000002E-4</v>
      </c>
      <c r="E47" s="15">
        <f t="shared" si="0"/>
        <v>7208.4911209981919</v>
      </c>
      <c r="F47">
        <f t="shared" si="1"/>
        <v>7208.5</v>
      </c>
      <c r="G47">
        <f t="shared" si="2"/>
        <v>-2.681356760149356E-3</v>
      </c>
      <c r="J47">
        <f>G47</f>
        <v>-2.681356760149356E-3</v>
      </c>
      <c r="O47">
        <f t="shared" ca="1" si="5"/>
        <v>-2.1726491653560089E-3</v>
      </c>
      <c r="Q47" s="1">
        <f t="shared" si="3"/>
        <v>40990.154999999999</v>
      </c>
    </row>
    <row r="48" spans="1:17">
      <c r="A48" s="77" t="s">
        <v>61</v>
      </c>
      <c r="B48" s="73"/>
      <c r="C48" s="78">
        <v>56023.754224101613</v>
      </c>
      <c r="D48" s="78">
        <v>4.0000000000000002E-4</v>
      </c>
      <c r="E48" s="15">
        <f t="shared" si="0"/>
        <v>7258.4904497831913</v>
      </c>
      <c r="F48">
        <f t="shared" si="1"/>
        <v>7258.5</v>
      </c>
      <c r="G48">
        <f t="shared" si="2"/>
        <v>-2.8840559898526408E-3</v>
      </c>
      <c r="K48">
        <f>+G48</f>
        <v>-2.8840559898526408E-3</v>
      </c>
      <c r="O48">
        <f t="shared" ca="1" si="5"/>
        <v>-2.0277548886967582E-3</v>
      </c>
      <c r="Q48" s="1">
        <f t="shared" si="3"/>
        <v>41005.254224101613</v>
      </c>
    </row>
    <row r="49" spans="1:17">
      <c r="A49" s="74" t="s">
        <v>60</v>
      </c>
      <c r="B49" s="73" t="s">
        <v>34</v>
      </c>
      <c r="C49" s="74">
        <v>56049.730199999998</v>
      </c>
      <c r="D49" s="74">
        <v>5.9999999999999995E-4</v>
      </c>
      <c r="E49" s="15">
        <f t="shared" si="0"/>
        <v>7344.5068802112801</v>
      </c>
      <c r="F49">
        <f t="shared" si="1"/>
        <v>7344.5</v>
      </c>
      <c r="G49">
        <f t="shared" si="2"/>
        <v>2.0777449317392893E-3</v>
      </c>
      <c r="K49">
        <f>+G49</f>
        <v>2.0777449317392893E-3</v>
      </c>
      <c r="O49">
        <f t="shared" ca="1" si="5"/>
        <v>-1.7785367328428392E-3</v>
      </c>
      <c r="Q49" s="1">
        <f t="shared" si="3"/>
        <v>41031.230199999998</v>
      </c>
    </row>
    <row r="50" spans="1:17">
      <c r="A50" s="72" t="s">
        <v>62</v>
      </c>
      <c r="B50" s="73" t="s">
        <v>34</v>
      </c>
      <c r="C50" s="74">
        <v>56408.484940000002</v>
      </c>
      <c r="D50" s="74">
        <v>4.0000000000000002E-4</v>
      </c>
      <c r="E50" s="15">
        <f t="shared" si="0"/>
        <v>8532.4815786277304</v>
      </c>
      <c r="F50">
        <f t="shared" si="1"/>
        <v>8532.5</v>
      </c>
      <c r="G50">
        <f t="shared" si="2"/>
        <v>-5.5630432398174889E-3</v>
      </c>
      <c r="K50">
        <f t="shared" ref="K50:K58" si="6">G50</f>
        <v>-5.5630432398174889E-3</v>
      </c>
      <c r="O50">
        <f t="shared" ca="1" si="5"/>
        <v>1.6641512805810228E-3</v>
      </c>
      <c r="Q50" s="1">
        <f t="shared" si="3"/>
        <v>41389.984940000002</v>
      </c>
    </row>
    <row r="51" spans="1:17">
      <c r="A51" s="81" t="s">
        <v>65</v>
      </c>
      <c r="B51" s="83"/>
      <c r="C51" s="81">
        <v>56408.491699999999</v>
      </c>
      <c r="D51" s="81">
        <v>4.0000000000000002E-4</v>
      </c>
      <c r="E51" s="15">
        <f t="shared" si="0"/>
        <v>8532.5039635834164</v>
      </c>
      <c r="F51">
        <f t="shared" si="1"/>
        <v>8532.5</v>
      </c>
      <c r="G51">
        <f t="shared" si="2"/>
        <v>1.1969567567575723E-3</v>
      </c>
      <c r="K51">
        <f t="shared" si="6"/>
        <v>1.1969567567575723E-3</v>
      </c>
      <c r="O51">
        <f t="shared" ca="1" si="5"/>
        <v>1.6641512805810228E-3</v>
      </c>
      <c r="Q51" s="1">
        <f t="shared" si="3"/>
        <v>41389.991699999999</v>
      </c>
    </row>
    <row r="52" spans="1:17">
      <c r="A52" s="81" t="s">
        <v>66</v>
      </c>
      <c r="B52" s="83" t="s">
        <v>34</v>
      </c>
      <c r="C52" s="84">
        <v>56765.445220000001</v>
      </c>
      <c r="D52" s="81">
        <v>1E-4</v>
      </c>
      <c r="E52" s="15">
        <f t="shared" si="0"/>
        <v>9714.5141309492574</v>
      </c>
      <c r="F52">
        <f t="shared" si="1"/>
        <v>9714.5</v>
      </c>
      <c r="G52">
        <f t="shared" si="2"/>
        <v>4.267384676495567E-3</v>
      </c>
      <c r="K52">
        <f t="shared" si="6"/>
        <v>4.267384676495567E-3</v>
      </c>
      <c r="O52">
        <f t="shared" ca="1" si="5"/>
        <v>5.0894519808057717E-3</v>
      </c>
      <c r="Q52" s="1">
        <f t="shared" si="3"/>
        <v>41746.945220000001</v>
      </c>
    </row>
    <row r="53" spans="1:17">
      <c r="A53" s="98" t="s">
        <v>190</v>
      </c>
      <c r="B53" s="99" t="s">
        <v>45</v>
      </c>
      <c r="C53" s="100">
        <v>57067.587639999998</v>
      </c>
      <c r="D53" s="100">
        <v>2.0000000000000001E-4</v>
      </c>
      <c r="E53" s="15">
        <f t="shared" si="0"/>
        <v>10715.023699905221</v>
      </c>
      <c r="F53">
        <f t="shared" si="1"/>
        <v>10715</v>
      </c>
      <c r="G53">
        <f t="shared" si="2"/>
        <v>7.1570996806258336E-3</v>
      </c>
      <c r="K53">
        <f t="shared" si="6"/>
        <v>7.1570996806258336E-3</v>
      </c>
      <c r="O53">
        <f t="shared" ca="1" si="5"/>
        <v>7.9887864567574352E-3</v>
      </c>
      <c r="Q53" s="1">
        <f t="shared" si="3"/>
        <v>42049.087639999998</v>
      </c>
    </row>
    <row r="54" spans="1:17">
      <c r="A54" s="98" t="s">
        <v>190</v>
      </c>
      <c r="B54" s="99" t="s">
        <v>34</v>
      </c>
      <c r="C54" s="100">
        <v>57125.424700000003</v>
      </c>
      <c r="D54" s="100">
        <v>1E-4</v>
      </c>
      <c r="E54" s="15">
        <f t="shared" si="0"/>
        <v>10906.544413780108</v>
      </c>
      <c r="F54">
        <f t="shared" si="1"/>
        <v>10906.5</v>
      </c>
      <c r="G54">
        <f t="shared" si="2"/>
        <v>1.3412452433840372E-2</v>
      </c>
      <c r="K54">
        <f t="shared" si="6"/>
        <v>1.3412452433840372E-2</v>
      </c>
      <c r="O54">
        <f t="shared" ca="1" si="5"/>
        <v>8.543731536362377E-3</v>
      </c>
      <c r="Q54" s="1">
        <f t="shared" si="3"/>
        <v>42106.924700000003</v>
      </c>
    </row>
    <row r="55" spans="1:17">
      <c r="A55" s="98" t="s">
        <v>190</v>
      </c>
      <c r="B55" s="99" t="s">
        <v>34</v>
      </c>
      <c r="C55" s="100">
        <v>57132.366540000003</v>
      </c>
      <c r="D55" s="100">
        <v>2.0000000000000001E-4</v>
      </c>
      <c r="E55" s="15">
        <f t="shared" si="0"/>
        <v>10929.531511540697</v>
      </c>
      <c r="F55">
        <f t="shared" si="1"/>
        <v>10929.5</v>
      </c>
      <c r="G55">
        <f t="shared" si="2"/>
        <v>9.516124046058394E-3</v>
      </c>
      <c r="K55">
        <f t="shared" si="6"/>
        <v>9.516124046058394E-3</v>
      </c>
      <c r="O55">
        <f t="shared" ca="1" si="5"/>
        <v>8.6103829036256324E-3</v>
      </c>
      <c r="Q55" s="1">
        <f t="shared" si="3"/>
        <v>42113.866540000003</v>
      </c>
    </row>
    <row r="56" spans="1:17">
      <c r="A56" s="98" t="s">
        <v>190</v>
      </c>
      <c r="B56" s="99" t="s">
        <v>45</v>
      </c>
      <c r="C56" s="100">
        <v>57431.492160000002</v>
      </c>
      <c r="D56" s="100">
        <v>2.9999999999999997E-4</v>
      </c>
      <c r="E56" s="15">
        <f t="shared" si="0"/>
        <v>11920.051297308903</v>
      </c>
      <c r="F56">
        <f t="shared" si="1"/>
        <v>11920</v>
      </c>
      <c r="G56">
        <f t="shared" si="2"/>
        <v>1.5491199214011431E-2</v>
      </c>
      <c r="K56">
        <f t="shared" si="6"/>
        <v>1.5491199214011431E-2</v>
      </c>
      <c r="O56">
        <f t="shared" ca="1" si="5"/>
        <v>1.1480738524245443E-2</v>
      </c>
      <c r="Q56" s="1">
        <f t="shared" si="3"/>
        <v>42412.992160000002</v>
      </c>
    </row>
    <row r="57" spans="1:17">
      <c r="A57" s="101" t="s">
        <v>1</v>
      </c>
      <c r="B57" s="102" t="s">
        <v>45</v>
      </c>
      <c r="C57" s="103">
        <v>57465.466099999998</v>
      </c>
      <c r="D57" s="103">
        <v>2E-3</v>
      </c>
      <c r="E57" s="15">
        <f t="shared" si="0"/>
        <v>12032.552057927462</v>
      </c>
      <c r="F57">
        <f t="shared" si="1"/>
        <v>12032.5</v>
      </c>
      <c r="G57">
        <f t="shared" si="2"/>
        <v>1.5720897303253878E-2</v>
      </c>
      <c r="K57">
        <f t="shared" si="6"/>
        <v>1.5720897303253878E-2</v>
      </c>
      <c r="O57">
        <f t="shared" ca="1" si="5"/>
        <v>1.1806750646728766E-2</v>
      </c>
      <c r="Q57" s="1">
        <f t="shared" si="3"/>
        <v>42446.966099999998</v>
      </c>
    </row>
    <row r="58" spans="1:17">
      <c r="A58" s="101" t="s">
        <v>1</v>
      </c>
      <c r="B58" s="102" t="s">
        <v>45</v>
      </c>
      <c r="C58" s="103">
        <v>57465.617400000003</v>
      </c>
      <c r="D58" s="103">
        <v>1.1999999999999999E-3</v>
      </c>
      <c r="E58" s="15">
        <f t="shared" si="0"/>
        <v>12033.053070323498</v>
      </c>
      <c r="F58">
        <f t="shared" si="1"/>
        <v>12033</v>
      </c>
      <c r="G58">
        <f t="shared" si="2"/>
        <v>1.6026629295083694E-2</v>
      </c>
      <c r="K58">
        <f t="shared" si="6"/>
        <v>1.6026629295083694E-2</v>
      </c>
      <c r="O58">
        <f t="shared" ca="1" si="5"/>
        <v>1.1808199589495354E-2</v>
      </c>
      <c r="Q58" s="1">
        <f t="shared" si="3"/>
        <v>42447.117400000003</v>
      </c>
    </row>
    <row r="59" spans="1:17">
      <c r="A59" s="100" t="s">
        <v>0</v>
      </c>
      <c r="B59" s="99" t="s">
        <v>34</v>
      </c>
      <c r="C59" s="100">
        <v>58192.052699999884</v>
      </c>
      <c r="D59" s="100" t="s">
        <v>15</v>
      </c>
      <c r="E59" s="15">
        <f>+(C59-C$7)/C$8</f>
        <v>14438.55928450317</v>
      </c>
      <c r="F59">
        <f t="shared" si="1"/>
        <v>14438.5</v>
      </c>
      <c r="G59">
        <f>C59-($C$7+$C$8*$F59)</f>
        <v>1.7903240317536984E-2</v>
      </c>
      <c r="K59">
        <f>G59</f>
        <v>1.7903240317536984E-2</v>
      </c>
      <c r="O59">
        <f ca="1">+C$11+C$12*$F59</f>
        <v>1.8779063239572041E-2</v>
      </c>
      <c r="Q59" s="1">
        <f>+C59-15018.5</f>
        <v>43173.552699999884</v>
      </c>
    </row>
    <row r="60" spans="1:17">
      <c r="A60" s="104" t="s">
        <v>191</v>
      </c>
      <c r="B60" s="105" t="s">
        <v>45</v>
      </c>
      <c r="C60" s="106">
        <v>57853.372450000141</v>
      </c>
      <c r="D60" s="106">
        <v>4.0000000000000002E-4</v>
      </c>
      <c r="E60" s="15">
        <f>+(C60-C$7)/C$8</f>
        <v>13317.058930659627</v>
      </c>
      <c r="F60">
        <f t="shared" si="1"/>
        <v>13317</v>
      </c>
      <c r="G60">
        <f>C60-($C$7+$C$8*$F60)</f>
        <v>1.7796383624954615E-2</v>
      </c>
      <c r="K60">
        <f>G60</f>
        <v>1.7796383624954615E-2</v>
      </c>
      <c r="O60">
        <f ca="1">+C$11+C$12*$F60</f>
        <v>1.5529084614104988E-2</v>
      </c>
      <c r="Q60" s="1">
        <f>+C60-15018.5</f>
        <v>42834.872450000141</v>
      </c>
    </row>
    <row r="61" spans="1:17">
      <c r="A61" s="107" t="s">
        <v>192</v>
      </c>
      <c r="B61" s="108" t="s">
        <v>45</v>
      </c>
      <c r="C61" s="109">
        <v>59643.271399999969</v>
      </c>
      <c r="E61" s="15">
        <f t="shared" ref="E61:E63" si="7">+(C61-C$7)/C$8</f>
        <v>19244.101637668718</v>
      </c>
      <c r="F61">
        <f t="shared" ref="F61:F63" si="8">ROUND(2*E61,0)/2</f>
        <v>19244</v>
      </c>
      <c r="G61">
        <f t="shared" ref="G61:G63" si="9">C61-($C$7+$C$8*$F61)</f>
        <v>3.0693410779349506E-2</v>
      </c>
      <c r="K61">
        <f t="shared" ref="K61:K63" si="10">G61</f>
        <v>3.0693410779349506E-2</v>
      </c>
      <c r="O61">
        <f t="shared" ref="O61:O63" ca="1" si="11">+C$11+C$12*$F61</f>
        <v>3.2704852169292892E-2</v>
      </c>
      <c r="Q61" s="1">
        <f t="shared" ref="Q61:Q63" si="12">+C61-15018.5</f>
        <v>44624.771399999969</v>
      </c>
    </row>
    <row r="62" spans="1:17">
      <c r="A62" s="107" t="s">
        <v>192</v>
      </c>
      <c r="B62" s="108" t="s">
        <v>45</v>
      </c>
      <c r="C62" s="109">
        <v>59643.271399999969</v>
      </c>
      <c r="E62" s="15">
        <f t="shared" si="7"/>
        <v>19244.101637668718</v>
      </c>
      <c r="F62">
        <f t="shared" si="8"/>
        <v>19244</v>
      </c>
      <c r="G62">
        <f t="shared" si="9"/>
        <v>3.0693410779349506E-2</v>
      </c>
      <c r="K62">
        <f t="shared" si="10"/>
        <v>3.0693410779349506E-2</v>
      </c>
      <c r="O62">
        <f t="shared" ca="1" si="11"/>
        <v>3.2704852169292892E-2</v>
      </c>
      <c r="Q62" s="1">
        <f t="shared" si="12"/>
        <v>44624.771399999969</v>
      </c>
    </row>
    <row r="63" spans="1:17">
      <c r="A63" s="107" t="s">
        <v>192</v>
      </c>
      <c r="B63" s="108" t="s">
        <v>45</v>
      </c>
      <c r="C63" s="109">
        <v>59643.271399999969</v>
      </c>
      <c r="E63" s="15">
        <f t="shared" si="7"/>
        <v>19244.101637668718</v>
      </c>
      <c r="F63">
        <f t="shared" si="8"/>
        <v>19244</v>
      </c>
      <c r="G63">
        <f t="shared" si="9"/>
        <v>3.0693410779349506E-2</v>
      </c>
      <c r="K63">
        <f t="shared" si="10"/>
        <v>3.0693410779349506E-2</v>
      </c>
      <c r="O63">
        <f t="shared" ca="1" si="11"/>
        <v>3.2704852169292892E-2</v>
      </c>
      <c r="Q63" s="1">
        <f t="shared" si="12"/>
        <v>44624.771399999969</v>
      </c>
    </row>
  </sheetData>
  <protectedRanges>
    <protectedRange sqref="A60:D60" name="Range1"/>
  </protectedRanges>
  <phoneticPr fontId="8" type="noConversion"/>
  <hyperlinks>
    <hyperlink ref="H1378" r:id="rId1" display="http://vsolj.cetus-net.org/bulletin.html" xr:uid="{00000000-0004-0000-0000-000000000000}"/>
    <hyperlink ref="H64515" r:id="rId2" display="http://vsolj.cetus-net.org/bulletin.html" xr:uid="{00000000-0004-0000-0000-000001000000}"/>
    <hyperlink ref="H64508" r:id="rId3" display="https://www.aavso.org/ejaavso" xr:uid="{00000000-0004-0000-0000-000002000000}"/>
    <hyperlink ref="I64515" r:id="rId4" display="http://vsolj.cetus-net.org/bulletin.html" xr:uid="{00000000-0004-0000-0000-000003000000}"/>
    <hyperlink ref="AQ58166" r:id="rId5" display="http://cdsbib.u-strasbg.fr/cgi-bin/cdsbib?1990RMxAA..21..381G" xr:uid="{00000000-0004-0000-0000-000004000000}"/>
    <hyperlink ref="H64512" r:id="rId6" display="https://www.aavso.org/ejaavso" xr:uid="{00000000-0004-0000-0000-000005000000}"/>
    <hyperlink ref="AP5530" r:id="rId7" display="http://cdsbib.u-strasbg.fr/cgi-bin/cdsbib?1990RMxAA..21..381G" xr:uid="{00000000-0004-0000-0000-000006000000}"/>
    <hyperlink ref="AP5533" r:id="rId8" display="http://cdsbib.u-strasbg.fr/cgi-bin/cdsbib?1990RMxAA..21..381G" xr:uid="{00000000-0004-0000-0000-000007000000}"/>
    <hyperlink ref="AP5531" r:id="rId9" display="http://cdsbib.u-strasbg.fr/cgi-bin/cdsbib?1990RMxAA..21..381G" xr:uid="{00000000-0004-0000-0000-000008000000}"/>
    <hyperlink ref="AP5515" r:id="rId10" display="http://cdsbib.u-strasbg.fr/cgi-bin/cdsbib?1990RMxAA..21..381G" xr:uid="{00000000-0004-0000-0000-000009000000}"/>
    <hyperlink ref="AQ5744" r:id="rId11" display="http://cdsbib.u-strasbg.fr/cgi-bin/cdsbib?1990RMxAA..21..381G" xr:uid="{00000000-0004-0000-0000-00000A000000}"/>
    <hyperlink ref="AQ5748" r:id="rId12" display="http://cdsbib.u-strasbg.fr/cgi-bin/cdsbib?1990RMxAA..21..381G" xr:uid="{00000000-0004-0000-0000-00000B000000}"/>
    <hyperlink ref="AQ65428" r:id="rId13" display="http://cdsbib.u-strasbg.fr/cgi-bin/cdsbib?1990RMxAA..21..381G" xr:uid="{00000000-0004-0000-0000-00000C000000}"/>
    <hyperlink ref="I2636" r:id="rId14" display="http://vsolj.cetus-net.org/bulletin.html" xr:uid="{00000000-0004-0000-0000-00000D000000}"/>
    <hyperlink ref="H2636" r:id="rId15" display="http://vsolj.cetus-net.org/bulletin.html" xr:uid="{00000000-0004-0000-0000-00000E000000}"/>
    <hyperlink ref="AQ553" r:id="rId16" display="http://cdsbib.u-strasbg.fr/cgi-bin/cdsbib?1990RMxAA..21..381G" xr:uid="{00000000-0004-0000-0000-00000F000000}"/>
    <hyperlink ref="AQ552" r:id="rId17" display="http://cdsbib.u-strasbg.fr/cgi-bin/cdsbib?1990RMxAA..21..381G" xr:uid="{00000000-0004-0000-0000-000010000000}"/>
    <hyperlink ref="AP3806" r:id="rId18" display="http://cdsbib.u-strasbg.fr/cgi-bin/cdsbib?1990RMxAA..21..381G" xr:uid="{00000000-0004-0000-0000-000011000000}"/>
    <hyperlink ref="AP3824" r:id="rId19" display="http://cdsbib.u-strasbg.fr/cgi-bin/cdsbib?1990RMxAA..21..381G" xr:uid="{00000000-0004-0000-0000-000012000000}"/>
    <hyperlink ref="AP3825" r:id="rId20" display="http://cdsbib.u-strasbg.fr/cgi-bin/cdsbib?1990RMxAA..21..381G" xr:uid="{00000000-0004-0000-0000-000013000000}"/>
    <hyperlink ref="AP382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6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21" t="s">
        <v>37</v>
      </c>
      <c r="B1" s="19"/>
      <c r="C1" s="19"/>
      <c r="D1" s="30"/>
      <c r="E1" s="19"/>
      <c r="F1" s="19"/>
    </row>
    <row r="2" spans="1:6">
      <c r="A2" s="20" t="s">
        <v>26</v>
      </c>
      <c r="B2" s="19"/>
      <c r="C2" s="19"/>
      <c r="D2" s="19"/>
      <c r="E2" s="19"/>
      <c r="F2" s="19"/>
    </row>
    <row r="3" spans="1:6" ht="13.5" thickBot="1"/>
    <row r="4" spans="1:6" ht="13.5" thickBot="1">
      <c r="A4" s="4" t="s">
        <v>2</v>
      </c>
      <c r="C4" s="28" t="s">
        <v>32</v>
      </c>
      <c r="D4" s="29" t="s">
        <v>32</v>
      </c>
    </row>
    <row r="6" spans="1:6">
      <c r="A6" s="4" t="s">
        <v>3</v>
      </c>
    </row>
    <row r="7" spans="1:6">
      <c r="A7" s="19" t="s">
        <v>4</v>
      </c>
      <c r="B7" s="19"/>
      <c r="C7" s="19">
        <v>51277.860034999998</v>
      </c>
    </row>
    <row r="8" spans="1:6">
      <c r="A8" s="19" t="s">
        <v>5</v>
      </c>
      <c r="B8" s="19"/>
      <c r="C8" s="19">
        <v>0.30196000000000001</v>
      </c>
    </row>
    <row r="9" spans="1:6">
      <c r="A9" s="31" t="s">
        <v>38</v>
      </c>
      <c r="B9" s="20"/>
      <c r="C9" s="32">
        <v>8</v>
      </c>
      <c r="D9" s="20" t="s">
        <v>39</v>
      </c>
      <c r="E9" s="20"/>
    </row>
    <row r="10" spans="1:6" ht="13.5" thickBot="1">
      <c r="A10" s="20"/>
      <c r="B10" s="20"/>
      <c r="C10" s="3" t="s">
        <v>22</v>
      </c>
      <c r="D10" s="3" t="s">
        <v>23</v>
      </c>
      <c r="E10" s="20"/>
    </row>
    <row r="11" spans="1:6">
      <c r="A11" s="20" t="s">
        <v>17</v>
      </c>
      <c r="B11" s="20"/>
      <c r="C11" s="20">
        <f>INTERCEPT(G21:G998,F21:F998)</f>
        <v>-3.7646173329261012E-3</v>
      </c>
      <c r="D11" s="2"/>
      <c r="E11" s="20"/>
    </row>
    <row r="12" spans="1:6">
      <c r="A12" s="20" t="s">
        <v>18</v>
      </c>
      <c r="B12" s="20"/>
      <c r="C12" s="20">
        <f>SLOPE(G21:G998,F21:F998)</f>
        <v>2.8536016985775195E-5</v>
      </c>
      <c r="D12" s="2"/>
      <c r="E12" s="20"/>
    </row>
    <row r="13" spans="1:6">
      <c r="A13" s="20" t="s">
        <v>21</v>
      </c>
      <c r="B13" s="20"/>
      <c r="C13" s="2" t="s">
        <v>15</v>
      </c>
      <c r="D13" s="2"/>
      <c r="E13" s="20"/>
    </row>
    <row r="14" spans="1:6">
      <c r="A14" s="20"/>
      <c r="B14" s="20"/>
      <c r="C14" s="20"/>
      <c r="D14" s="20"/>
      <c r="E14" s="20"/>
    </row>
    <row r="15" spans="1:6">
      <c r="A15" s="33" t="s">
        <v>19</v>
      </c>
      <c r="B15" s="20"/>
      <c r="C15" s="34">
        <f>(C7+C11)+(C8+C12)*INT(MAX(F21:F3533))</f>
        <v>53831.773319478314</v>
      </c>
      <c r="D15" s="35" t="s">
        <v>40</v>
      </c>
      <c r="E15" s="36">
        <f ca="1">TODAY()+15018.5-B9/24</f>
        <v>60339.5</v>
      </c>
    </row>
    <row r="16" spans="1:6">
      <c r="A16" s="24" t="s">
        <v>6</v>
      </c>
      <c r="B16" s="20"/>
      <c r="C16" s="37">
        <f>+C8+C12</f>
        <v>0.30198853601698578</v>
      </c>
      <c r="D16" s="35" t="s">
        <v>41</v>
      </c>
      <c r="E16" s="36">
        <f ca="1">ROUND(2*(E15-C15)/C16,0)/2+1</f>
        <v>21550.5</v>
      </c>
    </row>
    <row r="17" spans="1:17" ht="13.5" thickBot="1">
      <c r="A17" s="35" t="s">
        <v>35</v>
      </c>
      <c r="B17" s="20"/>
      <c r="C17" s="20">
        <f>COUNT(C21:C2191)</f>
        <v>9</v>
      </c>
      <c r="D17" s="35" t="s">
        <v>42</v>
      </c>
      <c r="E17" s="38">
        <f ca="1">+C15+C16*E16-15018.5-C9/24</f>
        <v>45320.94393157903</v>
      </c>
    </row>
    <row r="18" spans="1:17">
      <c r="A18" s="24" t="s">
        <v>7</v>
      </c>
      <c r="B18" s="20"/>
      <c r="C18" s="39">
        <f>+C15</f>
        <v>53831.773319478314</v>
      </c>
      <c r="D18" s="40">
        <f>+C16</f>
        <v>0.30198853601698578</v>
      </c>
      <c r="E18" s="41" t="s">
        <v>43</v>
      </c>
    </row>
    <row r="19" spans="1:17" ht="13.5" thickTop="1"/>
    <row r="20" spans="1:17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30</v>
      </c>
      <c r="I20" s="6" t="s">
        <v>33</v>
      </c>
      <c r="J20" s="6" t="s">
        <v>46</v>
      </c>
      <c r="K20" s="6" t="s">
        <v>20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16</v>
      </c>
    </row>
    <row r="21" spans="1:17">
      <c r="A21" s="22" t="s">
        <v>30</v>
      </c>
      <c r="B21" s="22"/>
      <c r="C21" s="44">
        <v>51277.860034999998</v>
      </c>
      <c r="D21" s="44"/>
      <c r="E21">
        <f>+(C21-C$7)/C$8</f>
        <v>0</v>
      </c>
      <c r="F21">
        <f t="shared" ref="F21:F26" si="0">ROUND(2*E21,0)/2</f>
        <v>0</v>
      </c>
      <c r="G21">
        <f>C21-($C$7+$C$8*$F21)</f>
        <v>0</v>
      </c>
      <c r="H21">
        <f>+G21</f>
        <v>0</v>
      </c>
      <c r="O21">
        <f>+C$11+C$12*$F21</f>
        <v>-3.7646173329261012E-3</v>
      </c>
      <c r="Q21" s="1">
        <f>+C21-15018.5</f>
        <v>36259.360034999998</v>
      </c>
    </row>
    <row r="22" spans="1:17">
      <c r="A22" s="19" t="s">
        <v>30</v>
      </c>
      <c r="B22" s="19"/>
      <c r="C22" s="45">
        <v>51258.695941999998</v>
      </c>
      <c r="D22" s="45"/>
      <c r="E22">
        <f t="shared" ref="E22:E29" si="1">+(C22-C$7)/C$8</f>
        <v>-63.465667638095809</v>
      </c>
      <c r="F22">
        <f t="shared" si="0"/>
        <v>-63.5</v>
      </c>
      <c r="G22">
        <f t="shared" ref="G22:G29" si="2">C22-($C$7+$C$8*$F22)</f>
        <v>1.0367000002588611E-2</v>
      </c>
      <c r="H22">
        <f>+G22</f>
        <v>1.0367000002588611E-2</v>
      </c>
      <c r="O22">
        <f t="shared" ref="O22:O29" si="3">+C$11+C$12*$F22</f>
        <v>-5.5766544115228266E-3</v>
      </c>
      <c r="Q22" s="1">
        <f t="shared" ref="Q22:Q29" si="4">+C22-15018.5</f>
        <v>36240.195941999998</v>
      </c>
    </row>
    <row r="23" spans="1:17">
      <c r="A23" s="19" t="s">
        <v>30</v>
      </c>
      <c r="B23" s="19"/>
      <c r="C23" s="45">
        <v>51304.724569999998</v>
      </c>
      <c r="D23" s="45"/>
      <c r="E23">
        <f t="shared" si="1"/>
        <v>88.967197642073828</v>
      </c>
      <c r="F23">
        <f t="shared" si="0"/>
        <v>89</v>
      </c>
      <c r="G23">
        <f t="shared" si="2"/>
        <v>-9.9049999989802018E-3</v>
      </c>
      <c r="H23">
        <f>+G23</f>
        <v>-9.9049999989802018E-3</v>
      </c>
      <c r="O23">
        <f t="shared" si="3"/>
        <v>-1.2249118211921086E-3</v>
      </c>
      <c r="Q23" s="1">
        <f t="shared" si="4"/>
        <v>36286.224569999998</v>
      </c>
    </row>
    <row r="24" spans="1:17">
      <c r="A24" s="19" t="s">
        <v>30</v>
      </c>
      <c r="B24" s="19"/>
      <c r="C24" s="45">
        <v>51312.725016999997</v>
      </c>
      <c r="D24" s="45"/>
      <c r="E24">
        <f t="shared" si="1"/>
        <v>115.46225327857711</v>
      </c>
      <c r="F24">
        <f t="shared" si="0"/>
        <v>115.5</v>
      </c>
      <c r="G24">
        <f t="shared" si="2"/>
        <v>-1.139800000237301E-2</v>
      </c>
      <c r="H24">
        <f>+G24</f>
        <v>-1.139800000237301E-2</v>
      </c>
      <c r="O24">
        <f t="shared" si="3"/>
        <v>-4.6870737106906616E-4</v>
      </c>
      <c r="Q24" s="1">
        <f t="shared" si="4"/>
        <v>36294.225016999997</v>
      </c>
    </row>
    <row r="25" spans="1:17">
      <c r="A25" s="23" t="s">
        <v>31</v>
      </c>
      <c r="B25" s="19"/>
      <c r="C25" s="45">
        <v>52000.815999999999</v>
      </c>
      <c r="D25" s="45">
        <v>1E-4</v>
      </c>
      <c r="E25">
        <f t="shared" si="1"/>
        <v>2394.211037885816</v>
      </c>
      <c r="F25">
        <f t="shared" si="0"/>
        <v>2394</v>
      </c>
      <c r="G25">
        <f t="shared" si="2"/>
        <v>6.3724999999976717E-2</v>
      </c>
      <c r="I25">
        <f>+G25</f>
        <v>6.3724999999976717E-2</v>
      </c>
      <c r="O25">
        <f t="shared" si="3"/>
        <v>6.4550607331019721E-2</v>
      </c>
      <c r="Q25" s="1">
        <f t="shared" si="4"/>
        <v>36982.315999999999</v>
      </c>
    </row>
    <row r="26" spans="1:17">
      <c r="A26" s="23" t="s">
        <v>31</v>
      </c>
      <c r="B26" s="19"/>
      <c r="C26" s="45">
        <v>52010.781999999999</v>
      </c>
      <c r="D26" s="45">
        <v>1E-4</v>
      </c>
      <c r="E26">
        <f t="shared" si="1"/>
        <v>2427.2154093257432</v>
      </c>
      <c r="F26">
        <f t="shared" si="0"/>
        <v>2427</v>
      </c>
      <c r="G26">
        <f t="shared" si="2"/>
        <v>6.50450000030105E-2</v>
      </c>
      <c r="I26">
        <f>+G26</f>
        <v>6.50450000030105E-2</v>
      </c>
      <c r="O26">
        <f t="shared" si="3"/>
        <v>6.5492295891550298E-2</v>
      </c>
      <c r="Q26" s="1">
        <f t="shared" si="4"/>
        <v>36992.281999999999</v>
      </c>
    </row>
    <row r="27" spans="1:17">
      <c r="A27" s="51" t="s">
        <v>44</v>
      </c>
      <c r="B27" s="53" t="s">
        <v>45</v>
      </c>
      <c r="C27" s="55">
        <v>53056.265299999999</v>
      </c>
      <c r="D27" s="55">
        <v>5.0000000000000001E-4</v>
      </c>
      <c r="E27">
        <f t="shared" si="1"/>
        <v>5889.5392270499442</v>
      </c>
      <c r="F27" s="57">
        <f>ROUND(2*E27,0)/2-0.5</f>
        <v>5889</v>
      </c>
      <c r="G27">
        <f t="shared" si="2"/>
        <v>0.16282499999942956</v>
      </c>
      <c r="J27">
        <f>G27</f>
        <v>0.16282499999942956</v>
      </c>
      <c r="O27">
        <f t="shared" si="3"/>
        <v>0.16428398669630404</v>
      </c>
      <c r="Q27" s="1">
        <f t="shared" si="4"/>
        <v>38037.765299999999</v>
      </c>
    </row>
    <row r="28" spans="1:17">
      <c r="A28" s="42" t="s">
        <v>44</v>
      </c>
      <c r="B28" s="13" t="s">
        <v>34</v>
      </c>
      <c r="C28" s="43">
        <v>53056.420700000002</v>
      </c>
      <c r="D28" s="43">
        <v>5.0000000000000001E-4</v>
      </c>
      <c r="E28">
        <f t="shared" si="1"/>
        <v>5890.0538647503126</v>
      </c>
      <c r="F28" s="58">
        <f>ROUND(2*E28,0)/2-0.5</f>
        <v>5889.5</v>
      </c>
      <c r="G28">
        <f t="shared" si="2"/>
        <v>0.16724500000418629</v>
      </c>
      <c r="J28">
        <f>G28</f>
        <v>0.16724500000418629</v>
      </c>
      <c r="O28">
        <f t="shared" si="3"/>
        <v>0.16429825470479692</v>
      </c>
      <c r="Q28" s="1">
        <f t="shared" si="4"/>
        <v>38037.920700000002</v>
      </c>
    </row>
    <row r="29" spans="1:17">
      <c r="A29" s="24" t="s">
        <v>36</v>
      </c>
      <c r="B29" s="52" t="s">
        <v>34</v>
      </c>
      <c r="C29" s="54">
        <v>53831.923999999999</v>
      </c>
      <c r="D29" s="56">
        <v>1E-3</v>
      </c>
      <c r="E29">
        <f t="shared" si="1"/>
        <v>8458.2857497681853</v>
      </c>
      <c r="F29" s="58">
        <f>ROUND(2*E29,0)/2-1</f>
        <v>8457.5</v>
      </c>
      <c r="G29">
        <f t="shared" si="2"/>
        <v>0.23726500000339001</v>
      </c>
      <c r="I29">
        <f>+G29</f>
        <v>0.23726500000339001</v>
      </c>
      <c r="O29">
        <f t="shared" si="3"/>
        <v>0.23757874632426762</v>
      </c>
      <c r="Q29" s="1">
        <f t="shared" si="4"/>
        <v>38813.423999999999</v>
      </c>
    </row>
    <row r="30" spans="1:17">
      <c r="A30" s="19"/>
      <c r="B30" s="19"/>
      <c r="C30" s="46"/>
      <c r="D30" s="45"/>
      <c r="Q30" s="1"/>
    </row>
    <row r="31" spans="1:17">
      <c r="A31" s="25"/>
      <c r="B31" s="26"/>
      <c r="C31" s="47"/>
      <c r="D31" s="47"/>
      <c r="Q31" s="1"/>
    </row>
    <row r="32" spans="1:17">
      <c r="A32" s="25"/>
      <c r="B32" s="27"/>
      <c r="C32" s="48"/>
      <c r="D32" s="48"/>
      <c r="Q32" s="1"/>
    </row>
    <row r="33" spans="1:17">
      <c r="A33" s="11"/>
      <c r="B33" s="16"/>
      <c r="C33" s="48"/>
      <c r="D33" s="48"/>
      <c r="Q33" s="1"/>
    </row>
    <row r="34" spans="1:17">
      <c r="A34" s="24"/>
      <c r="B34" s="20"/>
      <c r="C34" s="49"/>
      <c r="D34" s="50"/>
      <c r="Q34" s="1"/>
    </row>
    <row r="35" spans="1:17">
      <c r="A35" s="20"/>
      <c r="B35" s="20"/>
      <c r="C35" s="48"/>
      <c r="D35" s="48"/>
      <c r="Q35" s="1"/>
    </row>
    <row r="36" spans="1:17">
      <c r="A36" s="16"/>
      <c r="B36" s="13"/>
      <c r="C36" s="43"/>
      <c r="D36" s="43"/>
      <c r="Q36" s="1"/>
    </row>
    <row r="37" spans="1:17">
      <c r="B37" s="2"/>
      <c r="C37" s="10"/>
      <c r="D37" s="10"/>
      <c r="Q37" s="1"/>
    </row>
    <row r="38" spans="1:17">
      <c r="B38" s="2"/>
      <c r="C38" s="10"/>
      <c r="D38" s="10"/>
      <c r="Q38" s="1"/>
    </row>
    <row r="39" spans="1:17">
      <c r="B39" s="2"/>
      <c r="C39" s="10"/>
      <c r="D39" s="10"/>
      <c r="Q39" s="1"/>
    </row>
    <row r="40" spans="1:17">
      <c r="B40" s="2"/>
      <c r="C40" s="9"/>
      <c r="D40" s="10"/>
      <c r="Q40" s="1"/>
    </row>
    <row r="41" spans="1:17">
      <c r="B41" s="2"/>
      <c r="C41" s="9"/>
      <c r="D41" s="10"/>
      <c r="Q41" s="1"/>
    </row>
    <row r="42" spans="1:17">
      <c r="B42" s="2"/>
      <c r="C42" s="9"/>
      <c r="D42" s="10"/>
      <c r="Q42" s="1"/>
    </row>
    <row r="43" spans="1:17">
      <c r="B43" s="2"/>
      <c r="C43" s="9"/>
      <c r="D43" s="10"/>
      <c r="Q43" s="1"/>
    </row>
    <row r="44" spans="1:17">
      <c r="B44" s="2"/>
      <c r="C44" s="9"/>
      <c r="D44" s="10"/>
      <c r="Q44" s="1"/>
    </row>
    <row r="45" spans="1:17">
      <c r="B45" s="2"/>
      <c r="C45" s="8"/>
      <c r="D45" s="7"/>
      <c r="Q45" s="1"/>
    </row>
    <row r="46" spans="1:17">
      <c r="B46" s="2"/>
      <c r="C46" s="8"/>
      <c r="D46" s="7"/>
      <c r="Q46" s="1"/>
    </row>
    <row r="47" spans="1:17">
      <c r="B47" s="2"/>
      <c r="C47" s="8"/>
      <c r="D47" s="7"/>
      <c r="Q47" s="1"/>
    </row>
    <row r="48" spans="1:17">
      <c r="B48" s="2"/>
      <c r="C48" s="8"/>
      <c r="D48" s="7"/>
      <c r="Q48" s="1"/>
    </row>
    <row r="49" spans="1:17">
      <c r="B49" s="2"/>
      <c r="C49" s="8"/>
      <c r="D49" s="7"/>
      <c r="Q49" s="1"/>
    </row>
    <row r="50" spans="1:17">
      <c r="B50" s="2"/>
      <c r="C50" s="8"/>
      <c r="D50" s="7"/>
      <c r="Q50" s="1"/>
    </row>
    <row r="51" spans="1:17">
      <c r="B51" s="2"/>
      <c r="Q51" s="1"/>
    </row>
    <row r="52" spans="1:17">
      <c r="B52" s="2"/>
      <c r="Q52" s="1"/>
    </row>
    <row r="53" spans="1:17">
      <c r="A53" s="11"/>
      <c r="B53" s="2"/>
      <c r="C53" s="12"/>
      <c r="D53" s="12"/>
      <c r="Q53" s="1"/>
    </row>
    <row r="54" spans="1:17">
      <c r="A54" s="11"/>
      <c r="B54" s="13"/>
      <c r="C54" s="14"/>
      <c r="D54" s="14"/>
      <c r="Q54" s="1"/>
    </row>
    <row r="55" spans="1:17">
      <c r="A55" s="11"/>
      <c r="B55" s="13"/>
      <c r="C55" s="14"/>
      <c r="D55" s="14"/>
      <c r="Q55" s="1"/>
    </row>
    <row r="56" spans="1:17">
      <c r="A56" s="11"/>
      <c r="B56" s="13"/>
      <c r="C56" s="14"/>
      <c r="D56" s="14"/>
      <c r="Q56" s="1"/>
    </row>
    <row r="57" spans="1:17">
      <c r="A57" s="11"/>
      <c r="B57" s="13"/>
      <c r="C57" s="14"/>
      <c r="D57" s="14"/>
      <c r="Q57" s="1"/>
    </row>
    <row r="58" spans="1:17">
      <c r="A58" s="11"/>
      <c r="B58" s="13"/>
      <c r="C58" s="14"/>
      <c r="D58" s="14"/>
      <c r="Q58" s="1"/>
    </row>
    <row r="59" spans="1:17">
      <c r="A59" s="15"/>
      <c r="B59" s="13"/>
      <c r="C59" s="16"/>
      <c r="D59" s="16"/>
      <c r="Q59" s="1"/>
    </row>
    <row r="60" spans="1:17">
      <c r="A60" s="15"/>
      <c r="B60" s="13"/>
      <c r="C60" s="16"/>
      <c r="D60" s="16"/>
      <c r="Q60" s="1"/>
    </row>
    <row r="61" spans="1:17">
      <c r="A61" s="17"/>
      <c r="B61" s="13"/>
      <c r="C61" s="16"/>
      <c r="D61" s="16"/>
      <c r="Q61" s="1"/>
    </row>
    <row r="62" spans="1:17">
      <c r="A62" s="18"/>
      <c r="B62" s="2"/>
      <c r="C62" s="12"/>
      <c r="D62" s="12"/>
      <c r="Q62" s="1"/>
    </row>
    <row r="63" spans="1:17">
      <c r="A63" s="18"/>
      <c r="B63" s="13"/>
      <c r="C63" s="14"/>
      <c r="D63" s="14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7"/>
  <sheetViews>
    <sheetView topLeftCell="A11" workbookViewId="0">
      <selection activeCell="A34" sqref="A34:D34"/>
    </sheetView>
  </sheetViews>
  <sheetFormatPr defaultRowHeight="12.75"/>
  <cols>
    <col min="1" max="1" width="19.7109375" style="48" customWidth="1"/>
    <col min="2" max="2" width="4.42578125" style="20" customWidth="1"/>
    <col min="3" max="3" width="12.7109375" style="48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48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85" t="s">
        <v>67</v>
      </c>
      <c r="I1" s="86" t="s">
        <v>68</v>
      </c>
      <c r="J1" s="87" t="s">
        <v>69</v>
      </c>
    </row>
    <row r="2" spans="1:16">
      <c r="I2" s="88" t="s">
        <v>70</v>
      </c>
      <c r="J2" s="89" t="s">
        <v>71</v>
      </c>
    </row>
    <row r="3" spans="1:16">
      <c r="A3" s="90" t="s">
        <v>72</v>
      </c>
      <c r="I3" s="88" t="s">
        <v>73</v>
      </c>
      <c r="J3" s="89" t="s">
        <v>74</v>
      </c>
    </row>
    <row r="4" spans="1:16">
      <c r="I4" s="88" t="s">
        <v>75</v>
      </c>
      <c r="J4" s="89" t="s">
        <v>74</v>
      </c>
    </row>
    <row r="5" spans="1:16" ht="13.5" thickBot="1">
      <c r="I5" s="91" t="s">
        <v>76</v>
      </c>
      <c r="J5" s="92" t="s">
        <v>77</v>
      </c>
    </row>
    <row r="10" spans="1:16" ht="13.5" thickBot="1"/>
    <row r="11" spans="1:16" ht="12.75" customHeight="1" thickBot="1">
      <c r="A11" s="48" t="str">
        <f t="shared" ref="A11:A34" si="0">P11</f>
        <v>IBVS 5224 </v>
      </c>
      <c r="B11" s="2" t="str">
        <f t="shared" ref="B11:B34" si="1">IF(H11=INT(H11),"I","II")</f>
        <v>I</v>
      </c>
      <c r="C11" s="48">
        <f t="shared" ref="C11:C34" si="2">1*G11</f>
        <v>52010.781999999999</v>
      </c>
      <c r="D11" s="20" t="str">
        <f t="shared" ref="D11:D34" si="3">VLOOKUP(F11,I$1:J$5,2,FALSE)</f>
        <v>vis</v>
      </c>
      <c r="E11" s="93">
        <f>VLOOKUP(C11,Active!C$21:E$973,3,FALSE)</f>
        <v>-6030.0014811684459</v>
      </c>
      <c r="F11" s="2" t="s">
        <v>76</v>
      </c>
      <c r="G11" s="20" t="str">
        <f t="shared" ref="G11:G34" si="4">MID(I11,3,LEN(I11)-3)</f>
        <v>52010.7820</v>
      </c>
      <c r="H11" s="48">
        <f t="shared" ref="H11:H34" si="5">1*K11</f>
        <v>1357</v>
      </c>
      <c r="I11" s="94" t="s">
        <v>78</v>
      </c>
      <c r="J11" s="95" t="s">
        <v>79</v>
      </c>
      <c r="K11" s="94">
        <v>1357</v>
      </c>
      <c r="L11" s="94" t="s">
        <v>80</v>
      </c>
      <c r="M11" s="95" t="s">
        <v>81</v>
      </c>
      <c r="N11" s="95" t="s">
        <v>68</v>
      </c>
      <c r="O11" s="96" t="s">
        <v>82</v>
      </c>
      <c r="P11" s="97" t="s">
        <v>83</v>
      </c>
    </row>
    <row r="12" spans="1:16" ht="12.75" customHeight="1" thickBot="1">
      <c r="A12" s="48" t="str">
        <f t="shared" si="0"/>
        <v>IBVS 5784 </v>
      </c>
      <c r="B12" s="2" t="str">
        <f t="shared" si="1"/>
        <v>I</v>
      </c>
      <c r="C12" s="48">
        <f t="shared" si="2"/>
        <v>53056.265299999999</v>
      </c>
      <c r="D12" s="20" t="str">
        <f t="shared" si="3"/>
        <v>vis</v>
      </c>
      <c r="E12" s="93">
        <f>VLOOKUP(C12,Active!C$21:E$973,3,FALSE)</f>
        <v>-2568.0048312651688</v>
      </c>
      <c r="F12" s="2" t="s">
        <v>76</v>
      </c>
      <c r="G12" s="20" t="str">
        <f t="shared" si="4"/>
        <v>53056.2653</v>
      </c>
      <c r="H12" s="48">
        <f t="shared" si="5"/>
        <v>4819</v>
      </c>
      <c r="I12" s="94" t="s">
        <v>84</v>
      </c>
      <c r="J12" s="95" t="s">
        <v>85</v>
      </c>
      <c r="K12" s="94">
        <v>4819</v>
      </c>
      <c r="L12" s="94" t="s">
        <v>86</v>
      </c>
      <c r="M12" s="95" t="s">
        <v>81</v>
      </c>
      <c r="N12" s="95" t="s">
        <v>76</v>
      </c>
      <c r="O12" s="96" t="s">
        <v>87</v>
      </c>
      <c r="P12" s="97" t="s">
        <v>88</v>
      </c>
    </row>
    <row r="13" spans="1:16" ht="12.75" customHeight="1" thickBot="1">
      <c r="A13" s="48" t="str">
        <f t="shared" si="0"/>
        <v>IBVS 5784 </v>
      </c>
      <c r="B13" s="2" t="str">
        <f t="shared" si="1"/>
        <v>II</v>
      </c>
      <c r="C13" s="48">
        <f t="shared" si="2"/>
        <v>53056.420700000002</v>
      </c>
      <c r="D13" s="20" t="str">
        <f t="shared" si="3"/>
        <v>vis</v>
      </c>
      <c r="E13" s="93">
        <f>VLOOKUP(C13,Active!C$21:E$973,3,FALSE)</f>
        <v>-2567.4902421948259</v>
      </c>
      <c r="F13" s="2" t="s">
        <v>76</v>
      </c>
      <c r="G13" s="20" t="str">
        <f t="shared" si="4"/>
        <v>53056.4207</v>
      </c>
      <c r="H13" s="48">
        <f t="shared" si="5"/>
        <v>4819.5</v>
      </c>
      <c r="I13" s="94" t="s">
        <v>89</v>
      </c>
      <c r="J13" s="95" t="s">
        <v>90</v>
      </c>
      <c r="K13" s="94">
        <v>4819.5</v>
      </c>
      <c r="L13" s="94" t="s">
        <v>91</v>
      </c>
      <c r="M13" s="95" t="s">
        <v>81</v>
      </c>
      <c r="N13" s="95" t="s">
        <v>76</v>
      </c>
      <c r="O13" s="96" t="s">
        <v>87</v>
      </c>
      <c r="P13" s="97" t="s">
        <v>88</v>
      </c>
    </row>
    <row r="14" spans="1:16" ht="12.75" customHeight="1" thickBot="1">
      <c r="A14" s="48" t="str">
        <f t="shared" si="0"/>
        <v>IBVS 5875 </v>
      </c>
      <c r="B14" s="2" t="str">
        <f t="shared" si="1"/>
        <v>II</v>
      </c>
      <c r="C14" s="48">
        <f t="shared" si="2"/>
        <v>54804.023000000001</v>
      </c>
      <c r="D14" s="20" t="str">
        <f t="shared" si="3"/>
        <v>vis</v>
      </c>
      <c r="E14" s="93">
        <f>VLOOKUP(C14,Active!C$21:E$973,3,FALSE)</f>
        <v>3219.4920156406247</v>
      </c>
      <c r="F14" s="2" t="s">
        <v>76</v>
      </c>
      <c r="G14" s="20" t="str">
        <f t="shared" si="4"/>
        <v>54804.023</v>
      </c>
      <c r="H14" s="48">
        <f t="shared" si="5"/>
        <v>10606.5</v>
      </c>
      <c r="I14" s="94" t="s">
        <v>92</v>
      </c>
      <c r="J14" s="95" t="s">
        <v>93</v>
      </c>
      <c r="K14" s="94">
        <v>10606.5</v>
      </c>
      <c r="L14" s="94" t="s">
        <v>94</v>
      </c>
      <c r="M14" s="95" t="s">
        <v>81</v>
      </c>
      <c r="N14" s="95" t="s">
        <v>68</v>
      </c>
      <c r="O14" s="96" t="s">
        <v>82</v>
      </c>
      <c r="P14" s="97" t="s">
        <v>95</v>
      </c>
    </row>
    <row r="15" spans="1:16" ht="12.75" customHeight="1" thickBot="1">
      <c r="A15" s="48" t="str">
        <f t="shared" si="0"/>
        <v>IBVS 5894 </v>
      </c>
      <c r="B15" s="2" t="str">
        <f t="shared" si="1"/>
        <v>II</v>
      </c>
      <c r="C15" s="48">
        <f t="shared" si="2"/>
        <v>54888.8842</v>
      </c>
      <c r="D15" s="20" t="str">
        <f t="shared" si="3"/>
        <v>vis</v>
      </c>
      <c r="E15" s="93">
        <f>VLOOKUP(C15,Active!C$21:E$973,3,FALSE)</f>
        <v>3500.5000337570023</v>
      </c>
      <c r="F15" s="2" t="s">
        <v>76</v>
      </c>
      <c r="G15" s="20" t="str">
        <f t="shared" si="4"/>
        <v>54888.8842</v>
      </c>
      <c r="H15" s="48">
        <f t="shared" si="5"/>
        <v>10887.5</v>
      </c>
      <c r="I15" s="94" t="s">
        <v>96</v>
      </c>
      <c r="J15" s="95" t="s">
        <v>97</v>
      </c>
      <c r="K15" s="94">
        <v>10887.5</v>
      </c>
      <c r="L15" s="94" t="s">
        <v>98</v>
      </c>
      <c r="M15" s="95" t="s">
        <v>81</v>
      </c>
      <c r="N15" s="95" t="s">
        <v>76</v>
      </c>
      <c r="O15" s="96" t="s">
        <v>99</v>
      </c>
      <c r="P15" s="97" t="s">
        <v>100</v>
      </c>
    </row>
    <row r="16" spans="1:16" ht="12.75" customHeight="1" thickBot="1">
      <c r="A16" s="48" t="str">
        <f t="shared" si="0"/>
        <v>BAVM 209 </v>
      </c>
      <c r="B16" s="2" t="str">
        <f t="shared" si="1"/>
        <v>II</v>
      </c>
      <c r="C16" s="48">
        <f t="shared" si="2"/>
        <v>54908.5121</v>
      </c>
      <c r="D16" s="20" t="str">
        <f t="shared" si="3"/>
        <v>vis</v>
      </c>
      <c r="E16" s="93">
        <f>VLOOKUP(C16,Active!C$21:E$973,3,FALSE)</f>
        <v>3565.4955473578743</v>
      </c>
      <c r="F16" s="2" t="s">
        <v>76</v>
      </c>
      <c r="G16" s="20" t="str">
        <f t="shared" si="4"/>
        <v>54908.5121</v>
      </c>
      <c r="H16" s="48">
        <f t="shared" si="5"/>
        <v>10952.5</v>
      </c>
      <c r="I16" s="94" t="s">
        <v>101</v>
      </c>
      <c r="J16" s="95" t="s">
        <v>102</v>
      </c>
      <c r="K16" s="94">
        <v>10952.5</v>
      </c>
      <c r="L16" s="94" t="s">
        <v>103</v>
      </c>
      <c r="M16" s="95" t="s">
        <v>81</v>
      </c>
      <c r="N16" s="95" t="s">
        <v>104</v>
      </c>
      <c r="O16" s="96" t="s">
        <v>105</v>
      </c>
      <c r="P16" s="97" t="s">
        <v>106</v>
      </c>
    </row>
    <row r="17" spans="1:16" ht="12.75" customHeight="1" thickBot="1">
      <c r="A17" s="48" t="str">
        <f t="shared" si="0"/>
        <v>BAVM 209 </v>
      </c>
      <c r="B17" s="2" t="str">
        <f t="shared" si="1"/>
        <v>I</v>
      </c>
      <c r="C17" s="48">
        <f t="shared" si="2"/>
        <v>54908.659599999999</v>
      </c>
      <c r="D17" s="20" t="str">
        <f t="shared" si="3"/>
        <v>vis</v>
      </c>
      <c r="E17" s="93">
        <f>VLOOKUP(C17,Active!C$21:E$973,3,FALSE)</f>
        <v>3565.9839764947696</v>
      </c>
      <c r="F17" s="2" t="s">
        <v>76</v>
      </c>
      <c r="G17" s="20" t="str">
        <f t="shared" si="4"/>
        <v>54908.6596</v>
      </c>
      <c r="H17" s="48">
        <f t="shared" si="5"/>
        <v>10953</v>
      </c>
      <c r="I17" s="94" t="s">
        <v>107</v>
      </c>
      <c r="J17" s="95" t="s">
        <v>108</v>
      </c>
      <c r="K17" s="94" t="s">
        <v>109</v>
      </c>
      <c r="L17" s="94" t="s">
        <v>110</v>
      </c>
      <c r="M17" s="95" t="s">
        <v>81</v>
      </c>
      <c r="N17" s="95" t="s">
        <v>104</v>
      </c>
      <c r="O17" s="96" t="s">
        <v>105</v>
      </c>
      <c r="P17" s="97" t="s">
        <v>106</v>
      </c>
    </row>
    <row r="18" spans="1:16" ht="12.75" customHeight="1" thickBot="1">
      <c r="A18" s="48" t="str">
        <f t="shared" si="0"/>
        <v>IBVS 5945 </v>
      </c>
      <c r="B18" s="2" t="str">
        <f t="shared" si="1"/>
        <v>I</v>
      </c>
      <c r="C18" s="48">
        <f t="shared" si="2"/>
        <v>55280.712399999997</v>
      </c>
      <c r="D18" s="20" t="str">
        <f t="shared" si="3"/>
        <v>vis</v>
      </c>
      <c r="E18" s="93">
        <f>VLOOKUP(C18,Active!C$21:E$973,3,FALSE)</f>
        <v>4797.9936577466142</v>
      </c>
      <c r="F18" s="2" t="s">
        <v>76</v>
      </c>
      <c r="G18" s="20" t="str">
        <f t="shared" si="4"/>
        <v>55280.7124</v>
      </c>
      <c r="H18" s="48">
        <f t="shared" si="5"/>
        <v>12185</v>
      </c>
      <c r="I18" s="94" t="s">
        <v>111</v>
      </c>
      <c r="J18" s="95" t="s">
        <v>112</v>
      </c>
      <c r="K18" s="94" t="s">
        <v>113</v>
      </c>
      <c r="L18" s="94" t="s">
        <v>114</v>
      </c>
      <c r="M18" s="95" t="s">
        <v>81</v>
      </c>
      <c r="N18" s="95" t="s">
        <v>76</v>
      </c>
      <c r="O18" s="96" t="s">
        <v>99</v>
      </c>
      <c r="P18" s="97" t="s">
        <v>115</v>
      </c>
    </row>
    <row r="19" spans="1:16" ht="12.75" customHeight="1" thickBot="1">
      <c r="A19" s="48" t="str">
        <f t="shared" si="0"/>
        <v>IBVS 5992 </v>
      </c>
      <c r="B19" s="2" t="str">
        <f t="shared" si="1"/>
        <v>II</v>
      </c>
      <c r="C19" s="48">
        <f t="shared" si="2"/>
        <v>55614.862999999998</v>
      </c>
      <c r="D19" s="20" t="str">
        <f t="shared" si="3"/>
        <v>vis</v>
      </c>
      <c r="E19" s="93">
        <f>VLOOKUP(C19,Active!C$21:E$973,3,FALSE)</f>
        <v>5904.4946011506581</v>
      </c>
      <c r="F19" s="2" t="s">
        <v>76</v>
      </c>
      <c r="G19" s="20" t="str">
        <f t="shared" si="4"/>
        <v>55614.8630</v>
      </c>
      <c r="H19" s="48">
        <f t="shared" si="5"/>
        <v>13291.5</v>
      </c>
      <c r="I19" s="94" t="s">
        <v>116</v>
      </c>
      <c r="J19" s="95" t="s">
        <v>117</v>
      </c>
      <c r="K19" s="94" t="s">
        <v>118</v>
      </c>
      <c r="L19" s="94" t="s">
        <v>110</v>
      </c>
      <c r="M19" s="95" t="s">
        <v>81</v>
      </c>
      <c r="N19" s="95" t="s">
        <v>76</v>
      </c>
      <c r="O19" s="96" t="s">
        <v>99</v>
      </c>
      <c r="P19" s="97" t="s">
        <v>119</v>
      </c>
    </row>
    <row r="20" spans="1:16" ht="12.75" customHeight="1" thickBot="1">
      <c r="A20" s="48" t="str">
        <f t="shared" si="0"/>
        <v>BAVM 220 </v>
      </c>
      <c r="B20" s="2" t="str">
        <f t="shared" si="1"/>
        <v>I</v>
      </c>
      <c r="C20" s="48">
        <f t="shared" si="2"/>
        <v>55624.372300000003</v>
      </c>
      <c r="D20" s="20" t="str">
        <f t="shared" si="3"/>
        <v>vis</v>
      </c>
      <c r="E20" s="93">
        <f>VLOOKUP(C20,Active!C$21:E$973,3,FALSE)</f>
        <v>5935.9835448219183</v>
      </c>
      <c r="F20" s="2" t="s">
        <v>76</v>
      </c>
      <c r="G20" s="20" t="str">
        <f t="shared" si="4"/>
        <v>55624.3723</v>
      </c>
      <c r="H20" s="48">
        <f t="shared" si="5"/>
        <v>13323</v>
      </c>
      <c r="I20" s="94" t="s">
        <v>120</v>
      </c>
      <c r="J20" s="95" t="s">
        <v>121</v>
      </c>
      <c r="K20" s="94" t="s">
        <v>122</v>
      </c>
      <c r="L20" s="94" t="s">
        <v>123</v>
      </c>
      <c r="M20" s="95" t="s">
        <v>81</v>
      </c>
      <c r="N20" s="95" t="s">
        <v>104</v>
      </c>
      <c r="O20" s="96" t="s">
        <v>105</v>
      </c>
      <c r="P20" s="97" t="s">
        <v>124</v>
      </c>
    </row>
    <row r="21" spans="1:16" ht="12.75" customHeight="1" thickBot="1">
      <c r="A21" s="48" t="str">
        <f t="shared" si="0"/>
        <v>BAVM 220 </v>
      </c>
      <c r="B21" s="2" t="str">
        <f t="shared" si="1"/>
        <v>II</v>
      </c>
      <c r="C21" s="48">
        <f t="shared" si="2"/>
        <v>55624.5262</v>
      </c>
      <c r="D21" s="20" t="str">
        <f t="shared" si="3"/>
        <v>vis</v>
      </c>
      <c r="E21" s="93">
        <f>VLOOKUP(C21,Active!C$21:E$973,3,FALSE)</f>
        <v>5936.4931668162735</v>
      </c>
      <c r="F21" s="2" t="s">
        <v>76</v>
      </c>
      <c r="G21" s="20" t="str">
        <f t="shared" si="4"/>
        <v>55624.5262</v>
      </c>
      <c r="H21" s="48">
        <f t="shared" si="5"/>
        <v>13323.5</v>
      </c>
      <c r="I21" s="94" t="s">
        <v>125</v>
      </c>
      <c r="J21" s="95" t="s">
        <v>126</v>
      </c>
      <c r="K21" s="94" t="s">
        <v>127</v>
      </c>
      <c r="L21" s="94" t="s">
        <v>128</v>
      </c>
      <c r="M21" s="95" t="s">
        <v>81</v>
      </c>
      <c r="N21" s="95" t="s">
        <v>104</v>
      </c>
      <c r="O21" s="96" t="s">
        <v>105</v>
      </c>
      <c r="P21" s="97" t="s">
        <v>124</v>
      </c>
    </row>
    <row r="22" spans="1:16" ht="12.75" customHeight="1" thickBot="1">
      <c r="A22" s="48" t="str">
        <f t="shared" si="0"/>
        <v>OEJV 0160 </v>
      </c>
      <c r="B22" s="2" t="str">
        <f t="shared" si="1"/>
        <v>II</v>
      </c>
      <c r="C22" s="48">
        <f t="shared" si="2"/>
        <v>55627.545039999997</v>
      </c>
      <c r="D22" s="20" t="str">
        <f t="shared" si="3"/>
        <v>vis</v>
      </c>
      <c r="E22" s="93">
        <f>VLOOKUP(C22,Active!C$21:E$973,3,FALSE)</f>
        <v>5946.4897052273445</v>
      </c>
      <c r="F22" s="2" t="s">
        <v>76</v>
      </c>
      <c r="G22" s="20" t="str">
        <f t="shared" si="4"/>
        <v>55627.54504</v>
      </c>
      <c r="H22" s="48">
        <f t="shared" si="5"/>
        <v>13333.5</v>
      </c>
      <c r="I22" s="94" t="s">
        <v>129</v>
      </c>
      <c r="J22" s="95" t="s">
        <v>130</v>
      </c>
      <c r="K22" s="94" t="s">
        <v>131</v>
      </c>
      <c r="L22" s="94" t="s">
        <v>132</v>
      </c>
      <c r="M22" s="95" t="s">
        <v>81</v>
      </c>
      <c r="N22" s="95" t="s">
        <v>133</v>
      </c>
      <c r="O22" s="96" t="s">
        <v>134</v>
      </c>
      <c r="P22" s="97" t="s">
        <v>135</v>
      </c>
    </row>
    <row r="23" spans="1:16" ht="12.75" customHeight="1" thickBot="1">
      <c r="A23" s="48" t="str">
        <f t="shared" si="0"/>
        <v>OEJV 0160 </v>
      </c>
      <c r="B23" s="2" t="str">
        <f t="shared" si="1"/>
        <v>I</v>
      </c>
      <c r="C23" s="48">
        <f t="shared" si="2"/>
        <v>55645.511109999999</v>
      </c>
      <c r="D23" s="20" t="str">
        <f t="shared" si="3"/>
        <v>vis</v>
      </c>
      <c r="E23" s="93">
        <f>VLOOKUP(C23,Active!C$21:E$973,3,FALSE)</f>
        <v>6005.9822615904504</v>
      </c>
      <c r="F23" s="2" t="s">
        <v>76</v>
      </c>
      <c r="G23" s="20" t="str">
        <f t="shared" si="4"/>
        <v>55645.51111</v>
      </c>
      <c r="H23" s="48">
        <f t="shared" si="5"/>
        <v>13393</v>
      </c>
      <c r="I23" s="94" t="s">
        <v>136</v>
      </c>
      <c r="J23" s="95" t="s">
        <v>137</v>
      </c>
      <c r="K23" s="94" t="s">
        <v>138</v>
      </c>
      <c r="L23" s="94" t="s">
        <v>139</v>
      </c>
      <c r="M23" s="95" t="s">
        <v>81</v>
      </c>
      <c r="N23" s="95" t="s">
        <v>133</v>
      </c>
      <c r="O23" s="96" t="s">
        <v>134</v>
      </c>
      <c r="P23" s="97" t="s">
        <v>135</v>
      </c>
    </row>
    <row r="24" spans="1:16" ht="12.75" customHeight="1" thickBot="1">
      <c r="A24" s="48" t="str">
        <f t="shared" si="0"/>
        <v>IBVS 5992 </v>
      </c>
      <c r="B24" s="2" t="str">
        <f t="shared" si="1"/>
        <v>I</v>
      </c>
      <c r="C24" s="48">
        <f t="shared" si="2"/>
        <v>55684.767800000001</v>
      </c>
      <c r="D24" s="20" t="str">
        <f t="shared" si="3"/>
        <v>vis</v>
      </c>
      <c r="E24" s="93">
        <f>VLOOKUP(C24,Active!C$21:E$973,3,FALSE)</f>
        <v>6135.9762359239458</v>
      </c>
      <c r="F24" s="2" t="s">
        <v>76</v>
      </c>
      <c r="G24" s="20" t="str">
        <f t="shared" si="4"/>
        <v>55684.7678</v>
      </c>
      <c r="H24" s="48">
        <f t="shared" si="5"/>
        <v>13523</v>
      </c>
      <c r="I24" s="94" t="s">
        <v>140</v>
      </c>
      <c r="J24" s="95" t="s">
        <v>141</v>
      </c>
      <c r="K24" s="94" t="s">
        <v>142</v>
      </c>
      <c r="L24" s="94" t="s">
        <v>143</v>
      </c>
      <c r="M24" s="95" t="s">
        <v>81</v>
      </c>
      <c r="N24" s="95" t="s">
        <v>76</v>
      </c>
      <c r="O24" s="96" t="s">
        <v>99</v>
      </c>
      <c r="P24" s="97" t="s">
        <v>119</v>
      </c>
    </row>
    <row r="25" spans="1:16" ht="12.75" customHeight="1" thickBot="1">
      <c r="A25" s="48" t="str">
        <f t="shared" si="0"/>
        <v>BAVM 234 </v>
      </c>
      <c r="B25" s="2" t="str">
        <f t="shared" si="1"/>
        <v>I</v>
      </c>
      <c r="C25" s="48">
        <f t="shared" si="2"/>
        <v>55944.479500000001</v>
      </c>
      <c r="D25" s="20" t="str">
        <f t="shared" si="3"/>
        <v>vis</v>
      </c>
      <c r="E25" s="93">
        <f>VLOOKUP(C25,Active!C$21:E$973,3,FALSE)</f>
        <v>6995.9813984556522</v>
      </c>
      <c r="F25" s="2" t="s">
        <v>76</v>
      </c>
      <c r="G25" s="20" t="str">
        <f t="shared" si="4"/>
        <v>55944.4795</v>
      </c>
      <c r="H25" s="48">
        <f t="shared" si="5"/>
        <v>14383</v>
      </c>
      <c r="I25" s="94" t="s">
        <v>144</v>
      </c>
      <c r="J25" s="95" t="s">
        <v>145</v>
      </c>
      <c r="K25" s="94" t="s">
        <v>146</v>
      </c>
      <c r="L25" s="94" t="s">
        <v>147</v>
      </c>
      <c r="M25" s="95" t="s">
        <v>81</v>
      </c>
      <c r="N25" s="95" t="s">
        <v>148</v>
      </c>
      <c r="O25" s="96" t="s">
        <v>149</v>
      </c>
      <c r="P25" s="97" t="s">
        <v>150</v>
      </c>
    </row>
    <row r="26" spans="1:16" ht="12.75" customHeight="1" thickBot="1">
      <c r="A26" s="48" t="str">
        <f t="shared" si="0"/>
        <v>OEJV 0160 </v>
      </c>
      <c r="B26" s="2" t="str">
        <f t="shared" si="1"/>
        <v>II</v>
      </c>
      <c r="C26" s="48">
        <f t="shared" si="2"/>
        <v>55963.657550000004</v>
      </c>
      <c r="D26" s="20" t="str">
        <f t="shared" si="3"/>
        <v>vis</v>
      </c>
      <c r="E26" s="93">
        <f>VLOOKUP(C26,Active!C$21:E$973,3,FALSE)</f>
        <v>7059.4872859735924</v>
      </c>
      <c r="F26" s="2" t="s">
        <v>76</v>
      </c>
      <c r="G26" s="20" t="str">
        <f t="shared" si="4"/>
        <v>55963.65755</v>
      </c>
      <c r="H26" s="48">
        <f t="shared" si="5"/>
        <v>14446.5</v>
      </c>
      <c r="I26" s="94" t="s">
        <v>151</v>
      </c>
      <c r="J26" s="95" t="s">
        <v>152</v>
      </c>
      <c r="K26" s="94" t="s">
        <v>153</v>
      </c>
      <c r="L26" s="94" t="s">
        <v>154</v>
      </c>
      <c r="M26" s="95" t="s">
        <v>81</v>
      </c>
      <c r="N26" s="95" t="s">
        <v>133</v>
      </c>
      <c r="O26" s="96" t="s">
        <v>134</v>
      </c>
      <c r="P26" s="97" t="s">
        <v>135</v>
      </c>
    </row>
    <row r="27" spans="1:16" ht="12.75" customHeight="1" thickBot="1">
      <c r="A27" s="48" t="str">
        <f t="shared" si="0"/>
        <v>OEJV 0160 </v>
      </c>
      <c r="B27" s="2" t="str">
        <f t="shared" si="1"/>
        <v>I</v>
      </c>
      <c r="C27" s="48">
        <f t="shared" si="2"/>
        <v>55989.475740000002</v>
      </c>
      <c r="D27" s="20" t="str">
        <f t="shared" si="3"/>
        <v>vis</v>
      </c>
      <c r="E27" s="93">
        <f>VLOOKUP(C27,Active!C$21:E$973,3,FALSE)</f>
        <v>7144.9812267056541</v>
      </c>
      <c r="F27" s="2" t="s">
        <v>76</v>
      </c>
      <c r="G27" s="20" t="str">
        <f t="shared" si="4"/>
        <v>55989.47574</v>
      </c>
      <c r="H27" s="48">
        <f t="shared" si="5"/>
        <v>14532</v>
      </c>
      <c r="I27" s="94" t="s">
        <v>155</v>
      </c>
      <c r="J27" s="95" t="s">
        <v>156</v>
      </c>
      <c r="K27" s="94" t="s">
        <v>157</v>
      </c>
      <c r="L27" s="94" t="s">
        <v>158</v>
      </c>
      <c r="M27" s="95" t="s">
        <v>81</v>
      </c>
      <c r="N27" s="95" t="s">
        <v>133</v>
      </c>
      <c r="O27" s="96" t="s">
        <v>134</v>
      </c>
      <c r="P27" s="97" t="s">
        <v>135</v>
      </c>
    </row>
    <row r="28" spans="1:16" ht="12.75" customHeight="1" thickBot="1">
      <c r="A28" s="48" t="str">
        <f t="shared" si="0"/>
        <v>IBVS 6029 </v>
      </c>
      <c r="B28" s="2" t="str">
        <f t="shared" si="1"/>
        <v>II</v>
      </c>
      <c r="C28" s="48">
        <f t="shared" si="2"/>
        <v>55989.933799999999</v>
      </c>
      <c r="D28" s="20" t="str">
        <f t="shared" si="3"/>
        <v>vis</v>
      </c>
      <c r="E28" s="93">
        <f>VLOOKUP(C28,Active!C$21:E$973,3,FALSE)</f>
        <v>7146.4980392510524</v>
      </c>
      <c r="F28" s="2" t="s">
        <v>76</v>
      </c>
      <c r="G28" s="20" t="str">
        <f t="shared" si="4"/>
        <v>55989.9338</v>
      </c>
      <c r="H28" s="48">
        <f t="shared" si="5"/>
        <v>14533.5</v>
      </c>
      <c r="I28" s="94" t="s">
        <v>159</v>
      </c>
      <c r="J28" s="95" t="s">
        <v>160</v>
      </c>
      <c r="K28" s="94" t="s">
        <v>161</v>
      </c>
      <c r="L28" s="94" t="s">
        <v>162</v>
      </c>
      <c r="M28" s="95" t="s">
        <v>81</v>
      </c>
      <c r="N28" s="95" t="s">
        <v>76</v>
      </c>
      <c r="O28" s="96" t="s">
        <v>99</v>
      </c>
      <c r="P28" s="97" t="s">
        <v>163</v>
      </c>
    </row>
    <row r="29" spans="1:16" ht="12.75" customHeight="1" thickBot="1">
      <c r="A29" s="48" t="str">
        <f t="shared" si="0"/>
        <v>BAVM 228 </v>
      </c>
      <c r="B29" s="2" t="str">
        <f t="shared" si="1"/>
        <v>II</v>
      </c>
      <c r="C29" s="48">
        <f t="shared" si="2"/>
        <v>56008.353799999997</v>
      </c>
      <c r="D29" s="20" t="str">
        <f t="shared" si="3"/>
        <v>vis</v>
      </c>
      <c r="E29" s="93">
        <f>VLOOKUP(C29,Active!C$21:E$973,3,FALSE)</f>
        <v>7207.4937321437201</v>
      </c>
      <c r="F29" s="2" t="s">
        <v>76</v>
      </c>
      <c r="G29" s="20" t="str">
        <f t="shared" si="4"/>
        <v>56008.3538</v>
      </c>
      <c r="H29" s="48">
        <f t="shared" si="5"/>
        <v>14594.5</v>
      </c>
      <c r="I29" s="94" t="s">
        <v>164</v>
      </c>
      <c r="J29" s="95" t="s">
        <v>165</v>
      </c>
      <c r="K29" s="94" t="s">
        <v>166</v>
      </c>
      <c r="L29" s="94" t="s">
        <v>167</v>
      </c>
      <c r="M29" s="95" t="s">
        <v>81</v>
      </c>
      <c r="N29" s="95" t="s">
        <v>104</v>
      </c>
      <c r="O29" s="96" t="s">
        <v>105</v>
      </c>
      <c r="P29" s="97" t="s">
        <v>168</v>
      </c>
    </row>
    <row r="30" spans="1:16" ht="12.75" customHeight="1" thickBot="1">
      <c r="A30" s="48" t="str">
        <f t="shared" si="0"/>
        <v>BAVM 228 </v>
      </c>
      <c r="B30" s="2" t="str">
        <f t="shared" si="1"/>
        <v>I</v>
      </c>
      <c r="C30" s="48">
        <f t="shared" si="2"/>
        <v>56008.500599999999</v>
      </c>
      <c r="D30" s="20" t="str">
        <f t="shared" si="3"/>
        <v>vis</v>
      </c>
      <c r="E30" s="93">
        <f>VLOOKUP(C30,Active!C$21:E$973,3,FALSE)</f>
        <v>7207.9798433118403</v>
      </c>
      <c r="F30" s="2" t="s">
        <v>76</v>
      </c>
      <c r="G30" s="20" t="str">
        <f t="shared" si="4"/>
        <v>56008.5006</v>
      </c>
      <c r="H30" s="48">
        <f t="shared" si="5"/>
        <v>14595</v>
      </c>
      <c r="I30" s="94" t="s">
        <v>169</v>
      </c>
      <c r="J30" s="95" t="s">
        <v>170</v>
      </c>
      <c r="K30" s="94" t="s">
        <v>171</v>
      </c>
      <c r="L30" s="94" t="s">
        <v>172</v>
      </c>
      <c r="M30" s="95" t="s">
        <v>81</v>
      </c>
      <c r="N30" s="95" t="s">
        <v>104</v>
      </c>
      <c r="O30" s="96" t="s">
        <v>105</v>
      </c>
      <c r="P30" s="97" t="s">
        <v>168</v>
      </c>
    </row>
    <row r="31" spans="1:16" ht="12.75" customHeight="1" thickBot="1">
      <c r="A31" s="48" t="str">
        <f t="shared" si="0"/>
        <v>BAVM 228 </v>
      </c>
      <c r="B31" s="2" t="str">
        <f t="shared" si="1"/>
        <v>II</v>
      </c>
      <c r="C31" s="48">
        <f t="shared" si="2"/>
        <v>56008.654999999999</v>
      </c>
      <c r="D31" s="20" t="str">
        <f t="shared" si="3"/>
        <v>vis</v>
      </c>
      <c r="E31" s="93">
        <f>VLOOKUP(C31,Active!C$21:E$973,3,FALSE)</f>
        <v>7208.4911209981919</v>
      </c>
      <c r="F31" s="2" t="s">
        <v>76</v>
      </c>
      <c r="G31" s="20" t="str">
        <f t="shared" si="4"/>
        <v>56008.6550</v>
      </c>
      <c r="H31" s="48">
        <f t="shared" si="5"/>
        <v>14595.5</v>
      </c>
      <c r="I31" s="94" t="s">
        <v>173</v>
      </c>
      <c r="J31" s="95" t="s">
        <v>174</v>
      </c>
      <c r="K31" s="94" t="s">
        <v>175</v>
      </c>
      <c r="L31" s="94" t="s">
        <v>176</v>
      </c>
      <c r="M31" s="95" t="s">
        <v>81</v>
      </c>
      <c r="N31" s="95" t="s">
        <v>104</v>
      </c>
      <c r="O31" s="96" t="s">
        <v>105</v>
      </c>
      <c r="P31" s="97" t="s">
        <v>168</v>
      </c>
    </row>
    <row r="32" spans="1:16" ht="12.75" customHeight="1" thickBot="1">
      <c r="A32" s="48" t="str">
        <f t="shared" si="0"/>
        <v>IBVS 6029 </v>
      </c>
      <c r="B32" s="2" t="str">
        <f t="shared" si="1"/>
        <v>II</v>
      </c>
      <c r="C32" s="48">
        <f t="shared" si="2"/>
        <v>56049.730199999998</v>
      </c>
      <c r="D32" s="20" t="str">
        <f t="shared" si="3"/>
        <v>vis</v>
      </c>
      <c r="E32" s="93">
        <f>VLOOKUP(C32,Active!C$21:E$973,3,FALSE)</f>
        <v>7344.5068802112801</v>
      </c>
      <c r="F32" s="2" t="s">
        <v>76</v>
      </c>
      <c r="G32" s="20" t="str">
        <f t="shared" si="4"/>
        <v>56049.7302</v>
      </c>
      <c r="H32" s="48">
        <f t="shared" si="5"/>
        <v>14731.5</v>
      </c>
      <c r="I32" s="94" t="s">
        <v>182</v>
      </c>
      <c r="J32" s="95" t="s">
        <v>183</v>
      </c>
      <c r="K32" s="94" t="s">
        <v>184</v>
      </c>
      <c r="L32" s="94" t="s">
        <v>185</v>
      </c>
      <c r="M32" s="95" t="s">
        <v>81</v>
      </c>
      <c r="N32" s="95" t="s">
        <v>76</v>
      </c>
      <c r="O32" s="96" t="s">
        <v>99</v>
      </c>
      <c r="P32" s="97" t="s">
        <v>163</v>
      </c>
    </row>
    <row r="33" spans="1:16" ht="12.75" customHeight="1" thickBot="1">
      <c r="A33" s="48" t="str">
        <f t="shared" si="0"/>
        <v>OEJV 0160 </v>
      </c>
      <c r="B33" s="2" t="str">
        <f t="shared" si="1"/>
        <v>II</v>
      </c>
      <c r="C33" s="48">
        <f t="shared" si="2"/>
        <v>56408.484940000002</v>
      </c>
      <c r="D33" s="20" t="str">
        <f t="shared" si="3"/>
        <v>vis</v>
      </c>
      <c r="E33" s="93">
        <f>VLOOKUP(C33,Active!C$21:E$973,3,FALSE)</f>
        <v>8532.4815786277304</v>
      </c>
      <c r="F33" s="2" t="s">
        <v>76</v>
      </c>
      <c r="G33" s="20" t="str">
        <f t="shared" si="4"/>
        <v>56408.48494</v>
      </c>
      <c r="H33" s="48">
        <f t="shared" si="5"/>
        <v>15919.5</v>
      </c>
      <c r="I33" s="94" t="s">
        <v>186</v>
      </c>
      <c r="J33" s="95" t="s">
        <v>187</v>
      </c>
      <c r="K33" s="94" t="s">
        <v>188</v>
      </c>
      <c r="L33" s="94" t="s">
        <v>189</v>
      </c>
      <c r="M33" s="95" t="s">
        <v>81</v>
      </c>
      <c r="N33" s="95" t="s">
        <v>133</v>
      </c>
      <c r="O33" s="96" t="s">
        <v>134</v>
      </c>
      <c r="P33" s="97" t="s">
        <v>135</v>
      </c>
    </row>
    <row r="34" spans="1:16" ht="12.75" customHeight="1" thickBot="1">
      <c r="A34" s="48" t="str">
        <f t="shared" si="0"/>
        <v>IBVS 6050 </v>
      </c>
      <c r="B34" s="2" t="str">
        <f t="shared" si="1"/>
        <v>II</v>
      </c>
      <c r="C34" s="48">
        <f t="shared" si="2"/>
        <v>56023.754200000003</v>
      </c>
      <c r="D34" s="20" t="str">
        <f t="shared" si="3"/>
        <v>vis</v>
      </c>
      <c r="E34" s="93" t="e">
        <f>VLOOKUP(C34,Active!C$21:E$973,3,FALSE)</f>
        <v>#N/A</v>
      </c>
      <c r="F34" s="2" t="s">
        <v>76</v>
      </c>
      <c r="G34" s="20" t="str">
        <f t="shared" si="4"/>
        <v>56023.7542</v>
      </c>
      <c r="H34" s="48">
        <f t="shared" si="5"/>
        <v>14645.5</v>
      </c>
      <c r="I34" s="94" t="s">
        <v>177</v>
      </c>
      <c r="J34" s="95" t="s">
        <v>178</v>
      </c>
      <c r="K34" s="94" t="s">
        <v>179</v>
      </c>
      <c r="L34" s="94" t="s">
        <v>180</v>
      </c>
      <c r="M34" s="95" t="s">
        <v>81</v>
      </c>
      <c r="N34" s="95" t="s">
        <v>68</v>
      </c>
      <c r="O34" s="96" t="s">
        <v>82</v>
      </c>
      <c r="P34" s="97" t="s">
        <v>181</v>
      </c>
    </row>
    <row r="35" spans="1:16">
      <c r="B35" s="2"/>
      <c r="E35" s="93"/>
      <c r="F35" s="2"/>
    </row>
    <row r="36" spans="1:16">
      <c r="B36" s="2"/>
      <c r="E36" s="93"/>
      <c r="F36" s="2"/>
    </row>
    <row r="37" spans="1:16">
      <c r="B37" s="2"/>
      <c r="E37" s="93"/>
      <c r="F37" s="2"/>
    </row>
    <row r="38" spans="1:16">
      <c r="B38" s="2"/>
      <c r="E38" s="93"/>
      <c r="F38" s="2"/>
    </row>
    <row r="39" spans="1:16">
      <c r="B39" s="2"/>
      <c r="E39" s="93"/>
      <c r="F39" s="2"/>
    </row>
    <row r="40" spans="1:16">
      <c r="B40" s="2"/>
      <c r="E40" s="93"/>
      <c r="F40" s="2"/>
    </row>
    <row r="41" spans="1:16">
      <c r="B41" s="2"/>
      <c r="E41" s="93"/>
      <c r="F41" s="2"/>
    </row>
    <row r="42" spans="1:16">
      <c r="B42" s="2"/>
      <c r="E42" s="93"/>
      <c r="F42" s="2"/>
    </row>
    <row r="43" spans="1:16">
      <c r="B43" s="2"/>
      <c r="E43" s="93"/>
      <c r="F43" s="2"/>
    </row>
    <row r="44" spans="1:16">
      <c r="B44" s="2"/>
      <c r="E44" s="93"/>
      <c r="F44" s="2"/>
    </row>
    <row r="45" spans="1:16">
      <c r="B45" s="2"/>
      <c r="E45" s="93"/>
      <c r="F45" s="2"/>
    </row>
    <row r="46" spans="1:16">
      <c r="B46" s="2"/>
      <c r="E46" s="93"/>
      <c r="F46" s="2"/>
    </row>
    <row r="47" spans="1:16">
      <c r="B47" s="2"/>
      <c r="E47" s="93"/>
      <c r="F47" s="2"/>
    </row>
    <row r="48" spans="1:16">
      <c r="B48" s="2"/>
      <c r="E48" s="93"/>
      <c r="F48" s="2"/>
    </row>
    <row r="49" spans="2:6">
      <c r="B49" s="2"/>
      <c r="E49" s="93"/>
      <c r="F49" s="2"/>
    </row>
    <row r="50" spans="2:6">
      <c r="B50" s="2"/>
      <c r="E50" s="93"/>
      <c r="F50" s="2"/>
    </row>
    <row r="51" spans="2:6">
      <c r="B51" s="2"/>
      <c r="E51" s="93"/>
      <c r="F51" s="2"/>
    </row>
    <row r="52" spans="2:6">
      <c r="B52" s="2"/>
      <c r="E52" s="93"/>
      <c r="F52" s="2"/>
    </row>
    <row r="53" spans="2:6">
      <c r="B53" s="2"/>
      <c r="E53" s="93"/>
      <c r="F53" s="2"/>
    </row>
    <row r="54" spans="2:6">
      <c r="B54" s="2"/>
      <c r="E54" s="93"/>
      <c r="F54" s="2"/>
    </row>
    <row r="55" spans="2:6">
      <c r="B55" s="2"/>
      <c r="E55" s="93"/>
      <c r="F55" s="2"/>
    </row>
    <row r="56" spans="2:6">
      <c r="B56" s="2"/>
      <c r="E56" s="93"/>
      <c r="F56" s="2"/>
    </row>
    <row r="57" spans="2:6">
      <c r="B57" s="2"/>
      <c r="E57" s="93"/>
      <c r="F57" s="2"/>
    </row>
    <row r="58" spans="2:6">
      <c r="B58" s="2"/>
      <c r="E58" s="93"/>
      <c r="F58" s="2"/>
    </row>
    <row r="59" spans="2:6">
      <c r="B59" s="2"/>
      <c r="E59" s="93"/>
      <c r="F59" s="2"/>
    </row>
    <row r="60" spans="2:6">
      <c r="B60" s="2"/>
      <c r="E60" s="93"/>
      <c r="F60" s="2"/>
    </row>
    <row r="61" spans="2:6">
      <c r="B61" s="2"/>
      <c r="E61" s="93"/>
      <c r="F61" s="2"/>
    </row>
    <row r="62" spans="2:6">
      <c r="B62" s="2"/>
      <c r="E62" s="93"/>
      <c r="F62" s="2"/>
    </row>
    <row r="63" spans="2:6">
      <c r="B63" s="2"/>
      <c r="E63" s="93"/>
      <c r="F63" s="2"/>
    </row>
    <row r="64" spans="2:6">
      <c r="B64" s="2"/>
      <c r="E64" s="93"/>
      <c r="F64" s="2"/>
    </row>
    <row r="65" spans="2:6">
      <c r="B65" s="2"/>
      <c r="E65" s="93"/>
      <c r="F65" s="2"/>
    </row>
    <row r="66" spans="2:6">
      <c r="B66" s="2"/>
      <c r="E66" s="93"/>
      <c r="F66" s="2"/>
    </row>
    <row r="67" spans="2:6">
      <c r="B67" s="2"/>
      <c r="E67" s="93"/>
      <c r="F67" s="2"/>
    </row>
    <row r="68" spans="2:6">
      <c r="B68" s="2"/>
      <c r="E68" s="93"/>
      <c r="F68" s="2"/>
    </row>
    <row r="69" spans="2:6">
      <c r="B69" s="2"/>
      <c r="E69" s="93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</sheetData>
  <phoneticPr fontId="8" type="noConversion"/>
  <hyperlinks>
    <hyperlink ref="P11" r:id="rId1" display="http://www.konkoly.hu/cgi-bin/IBVS?5224" xr:uid="{00000000-0004-0000-0200-000000000000}"/>
    <hyperlink ref="P12" r:id="rId2" display="http://www.konkoly.hu/cgi-bin/IBVS?5784" xr:uid="{00000000-0004-0000-0200-000001000000}"/>
    <hyperlink ref="P13" r:id="rId3" display="http://www.konkoly.hu/cgi-bin/IBVS?5784" xr:uid="{00000000-0004-0000-0200-000002000000}"/>
    <hyperlink ref="P14" r:id="rId4" display="http://www.konkoly.hu/cgi-bin/IBVS?5875" xr:uid="{00000000-0004-0000-0200-000003000000}"/>
    <hyperlink ref="P15" r:id="rId5" display="http://www.konkoly.hu/cgi-bin/IBVS?5894" xr:uid="{00000000-0004-0000-0200-000004000000}"/>
    <hyperlink ref="P16" r:id="rId6" display="http://www.bav-astro.de/sfs/BAVM_link.php?BAVMnr=209" xr:uid="{00000000-0004-0000-0200-000005000000}"/>
    <hyperlink ref="P17" r:id="rId7" display="http://www.bav-astro.de/sfs/BAVM_link.php?BAVMnr=209" xr:uid="{00000000-0004-0000-0200-000006000000}"/>
    <hyperlink ref="P18" r:id="rId8" display="http://www.konkoly.hu/cgi-bin/IBVS?5945" xr:uid="{00000000-0004-0000-0200-000007000000}"/>
    <hyperlink ref="P19" r:id="rId9" display="http://www.konkoly.hu/cgi-bin/IBVS?5992" xr:uid="{00000000-0004-0000-0200-000008000000}"/>
    <hyperlink ref="P20" r:id="rId10" display="http://www.bav-astro.de/sfs/BAVM_link.php?BAVMnr=220" xr:uid="{00000000-0004-0000-0200-000009000000}"/>
    <hyperlink ref="P21" r:id="rId11" display="http://www.bav-astro.de/sfs/BAVM_link.php?BAVMnr=220" xr:uid="{00000000-0004-0000-0200-00000A000000}"/>
    <hyperlink ref="P22" r:id="rId12" display="http://var.astro.cz/oejv/issues/oejv0160.pdf" xr:uid="{00000000-0004-0000-0200-00000B000000}"/>
    <hyperlink ref="P23" r:id="rId13" display="http://var.astro.cz/oejv/issues/oejv0160.pdf" xr:uid="{00000000-0004-0000-0200-00000C000000}"/>
    <hyperlink ref="P24" r:id="rId14" display="http://www.konkoly.hu/cgi-bin/IBVS?5992" xr:uid="{00000000-0004-0000-0200-00000D000000}"/>
    <hyperlink ref="P25" r:id="rId15" display="http://www.bav-astro.de/sfs/BAVM_link.php?BAVMnr=234" xr:uid="{00000000-0004-0000-0200-00000E000000}"/>
    <hyperlink ref="P26" r:id="rId16" display="http://var.astro.cz/oejv/issues/oejv0160.pdf" xr:uid="{00000000-0004-0000-0200-00000F000000}"/>
    <hyperlink ref="P27" r:id="rId17" display="http://var.astro.cz/oejv/issues/oejv0160.pdf" xr:uid="{00000000-0004-0000-0200-000010000000}"/>
    <hyperlink ref="P28" r:id="rId18" display="http://www.konkoly.hu/cgi-bin/IBVS?6029" xr:uid="{00000000-0004-0000-0200-000011000000}"/>
    <hyperlink ref="P29" r:id="rId19" display="http://www.bav-astro.de/sfs/BAVM_link.php?BAVMnr=228" xr:uid="{00000000-0004-0000-0200-000012000000}"/>
    <hyperlink ref="P30" r:id="rId20" display="http://www.bav-astro.de/sfs/BAVM_link.php?BAVMnr=228" xr:uid="{00000000-0004-0000-0200-000013000000}"/>
    <hyperlink ref="P31" r:id="rId21" display="http://www.bav-astro.de/sfs/BAVM_link.php?BAVMnr=228" xr:uid="{00000000-0004-0000-0200-000014000000}"/>
    <hyperlink ref="P34" r:id="rId22" display="http://www.konkoly.hu/cgi-bin/IBVS?6050" xr:uid="{00000000-0004-0000-0200-000015000000}"/>
    <hyperlink ref="P32" r:id="rId23" display="http://www.konkoly.hu/cgi-bin/IBVS?6029" xr:uid="{00000000-0004-0000-0200-000016000000}"/>
    <hyperlink ref="P33" r:id="rId24" display="http://var.astro.cz/oejv/issues/oejv0160.pdf" xr:uid="{00000000-0004-0000-02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2024-01-30T02:30:08Z</dcterms:modified>
</cp:coreProperties>
</file>