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06FAF9D-6563-4EF0-AF02-2D69995036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E21" i="1"/>
  <c r="F21" i="1"/>
  <c r="F11" i="1"/>
  <c r="Q22" i="1"/>
  <c r="C7" i="1"/>
  <c r="E22" i="1"/>
  <c r="F22" i="1"/>
  <c r="G22" i="1"/>
  <c r="I22" i="1"/>
  <c r="Q23" i="1"/>
  <c r="G11" i="1"/>
  <c r="C8" i="1"/>
  <c r="E23" i="1"/>
  <c r="F23" i="1"/>
  <c r="G23" i="1"/>
  <c r="J23" i="1"/>
  <c r="Q21" i="1"/>
  <c r="G21" i="1"/>
  <c r="C17" i="1"/>
  <c r="H21" i="1"/>
  <c r="C12" i="1"/>
  <c r="C16" i="1" l="1"/>
  <c r="D18" i="1" s="1"/>
  <c r="C11" i="1"/>
  <c r="O21" i="1" l="1"/>
  <c r="O22" i="1"/>
  <c r="C15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<sst xmlns="http://schemas.openxmlformats.org/spreadsheetml/2006/main" count="58" uniqueCount="52">
  <si>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</si>
  <si>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</si>
  <si>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</si>
  <si>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</si>
  <si>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</si>
  <si>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</si>
  <si>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</si>
  <si>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</si>
  <si>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</si>
  <si>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</si>
  <si>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</si>
  <si>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</si>
  <si>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</si>
  <si>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</si>
  <si>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</si>
  <si>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</si>
  <si>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</si>
  <si>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</si>
  <si>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</si>
  <si>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</si>
  <si>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</si>
  <si>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</si>
  <si>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</si>
  <si>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</si>
  <si>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</si>
  <si>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</si>
  <si>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</si>
  <si>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</si>
  <si>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</si>
  <si>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</si>
  <si>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</si>
  <si>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</si>
  <si>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</si>
  <si>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</si>
  <si>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</si>
  <si>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</si>
  <si>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AI Cru / GSC 8974-0877</t>
  </si>
  <si>
    <t>OEJV 0073</t>
  </si>
  <si>
    <t>I</t>
  </si>
  <si>
    <t xml:space="preserve">EA/KE     </t>
  </si>
  <si>
    <t>IBVS 46</t>
  </si>
  <si>
    <t>See 1956BAN....12..313O for an early paper</t>
  </si>
  <si>
    <t>OEJV</t>
  </si>
  <si>
    <t>J.M. Kreiner, 2004, Acta Astronomica, vol. 54, pp 207-210.</t>
  </si>
  <si>
    <t>CCD</t>
  </si>
  <si>
    <t>VSX</t>
  </si>
  <si>
    <t xml:space="preserve">Mag B </t>
  </si>
  <si>
    <t>9.55-10.3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</si>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</sst>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14" fillId="0" borderId="0" xfId="0" applyFont="1" applyAlignment="1"/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center"/>
    </xf>
    <xf numFmtId="0" fontId="17" fillId="0" borderId="8" xfId="0" applyFont="1" applyBorder="1" applyAlignment="1">
      <alignment horizontal="right" vertical="top"/>
    </xf>
    <xf numFmtId="0" fontId="15" fillId="0" borderId="9" xfId="0" applyFont="1" applyBorder="1" applyAlignment="1"/>
    <xf numFmtId="0" fontId="16" fillId="0" borderId="9" xfId="0" applyFont="1" applyBorder="1" applyAlignment="1">
      <alignment horizontal="right"/>
    </xf>
    <xf numFmtId="22" fontId="17" fillId="0" borderId="8" xfId="0" applyNumberFormat="1" applyFont="1" applyBorder="1" applyAlignment="1">
      <alignment horizontal="right" vertical="top"/>
    </xf>
    <xf numFmtId="22" fontId="16" fillId="0" borderId="9" xfId="0" applyNumberFormat="1" applyFont="1" applyBorder="1" applyAlignment="1">
      <alignment horizontal="right"/>
    </xf>
    <xf numFmtId="22" fontId="16" fillId="0" borderId="10" xfId="0" applyNumberFormat="1" applyFont="1" applyBorder="1" applyAlignment="1">
      <alignment horizontal="right"/>
    </xf>
    <xf numFmtId="0" fontId="17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Cru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7-420F-B32D-485E5EEAC6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1.7872199998237193E-2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67-420F-B32D-485E5EEAC6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6.8474699844955467E-2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67-420F-B32D-485E5EEAC6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67-420F-B32D-485E5EEAC6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67-420F-B32D-485E5EEAC6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67-420F-B32D-485E5EEAC6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67-420F-B32D-485E5EEAC6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5086</c:v>
                </c:pt>
                <c:pt idx="2">
                  <c:v>14661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-2.4834477319432245E-3</c:v>
                </c:pt>
                <c:pt idx="1">
                  <c:v>2.1674792917090437E-2</c:v>
                </c:pt>
                <c:pt idx="2">
                  <c:v>6.7155554658045458E-2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67-420F-B32D-485E5EEAC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269248"/>
        <c:axId val="1"/>
      </c:scatterChart>
      <c:valAx>
        <c:axId val="550269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269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75366568914952"/>
          <c:w val="0.6962406015037594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C93FA3-E9E8-9E82-2B17-6F26A9DA5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36</v>
      </c>
    </row>
    <row r="2" spans="1:18" x14ac:dyDescent="0.2">
      <c r="A2" t="s">
        <v>24</v>
      </c>
      <c r="B2" t="s">
        <v>39</v>
      </c>
      <c r="C2" s="3"/>
      <c r="R2" t="s">
        <v>41</v>
      </c>
    </row>
    <row r="3" spans="1:18" ht="12.75" customHeight="1" thickBot="1" x14ac:dyDescent="0.25">
      <c r="C3" s="23" t="s">
        <v>41</v>
      </c>
    </row>
    <row r="4" spans="1:18" ht="14.25" thickTop="1" thickBot="1" x14ac:dyDescent="0.25">
      <c r="A4" s="5" t="s">
        <v>0</v>
      </c>
      <c r="C4" s="8">
        <v>33466.335800000001</v>
      </c>
      <c r="D4" s="9">
        <v>1.4177073</v>
      </c>
    </row>
    <row r="5" spans="1:18" ht="13.5" thickTop="1" x14ac:dyDescent="0.2">
      <c r="C5" s="28" t="s">
        <v>43</v>
      </c>
    </row>
    <row r="6" spans="1:18" x14ac:dyDescent="0.2">
      <c r="A6" s="5" t="s">
        <v>1</v>
      </c>
    </row>
    <row r="7" spans="1:18" x14ac:dyDescent="0.2">
      <c r="A7" t="s">
        <v>2</v>
      </c>
      <c r="C7">
        <f>+C4</f>
        <v>33466.335800000001</v>
      </c>
      <c r="D7" s="29" t="s">
        <v>45</v>
      </c>
    </row>
    <row r="8" spans="1:18" x14ac:dyDescent="0.2">
      <c r="A8" t="s">
        <v>3</v>
      </c>
      <c r="C8">
        <f>+D4</f>
        <v>1.4177073</v>
      </c>
      <c r="D8" s="29" t="s">
        <v>45</v>
      </c>
    </row>
    <row r="9" spans="1:18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18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18" x14ac:dyDescent="0.2">
      <c r="A11" s="12" t="s">
        <v>16</v>
      </c>
      <c r="B11" s="12"/>
      <c r="C11" s="21">
        <f ca="1">INTERCEPT(INDIRECT($G$11):G992,INDIRECT($F$11):F992)</f>
        <v>-2.4834477319432245E-3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18" x14ac:dyDescent="0.2">
      <c r="A12" s="12" t="s">
        <v>17</v>
      </c>
      <c r="B12" s="12"/>
      <c r="C12" s="21">
        <f ca="1">SLOPE(INDIRECT($G$11):G992,INDIRECT($F$11):F992)</f>
        <v>4.749949006888254E-6</v>
      </c>
      <c r="D12" s="3"/>
      <c r="E12" s="30" t="s">
        <v>46</v>
      </c>
      <c r="F12" s="31" t="s">
        <v>47</v>
      </c>
    </row>
    <row r="13" spans="1:18" x14ac:dyDescent="0.2">
      <c r="A13" s="12" t="s">
        <v>19</v>
      </c>
      <c r="B13" s="12"/>
      <c r="C13" s="3" t="s">
        <v>14</v>
      </c>
      <c r="D13" s="3"/>
      <c r="E13" s="32" t="s">
        <v>48</v>
      </c>
      <c r="F13" s="33">
        <v>1</v>
      </c>
    </row>
    <row r="14" spans="1:18" x14ac:dyDescent="0.2">
      <c r="A14" s="12"/>
      <c r="B14" s="12"/>
      <c r="C14" s="12"/>
      <c r="D14" s="12"/>
      <c r="E14" s="32" t="s">
        <v>32</v>
      </c>
      <c r="F14" s="34">
        <f ca="1">NOW()+15018.5+$C$9/24</f>
        <v>60518.831048611108</v>
      </c>
    </row>
    <row r="15" spans="1:18" x14ac:dyDescent="0.2">
      <c r="A15" s="14" t="s">
        <v>18</v>
      </c>
      <c r="B15" s="12"/>
      <c r="C15" s="15">
        <f ca="1">(C7+C11)+(C8+C12)*INT(MAX(F21:F3533))</f>
        <v>54251.40968085466</v>
      </c>
      <c r="D15" s="16" t="s">
        <v>32</v>
      </c>
      <c r="E15" s="32" t="s">
        <v>49</v>
      </c>
      <c r="F15" s="34">
        <f ca="1">ROUND(2*($F$14-$C$7)/$C$8,0)/2+$F$13</f>
        <v>19083</v>
      </c>
    </row>
    <row r="16" spans="1:18" x14ac:dyDescent="0.2">
      <c r="A16" s="17" t="s">
        <v>4</v>
      </c>
      <c r="B16" s="12"/>
      <c r="C16" s="18">
        <f ca="1">+C8+C12</f>
        <v>1.4177120499490068</v>
      </c>
      <c r="D16" s="16" t="s">
        <v>33</v>
      </c>
      <c r="E16" s="32" t="s">
        <v>33</v>
      </c>
      <c r="F16" s="34">
        <f ca="1">ROUND(2*($F$14-$C$15)/$C$16,0)/2+$F$13</f>
        <v>4422</v>
      </c>
    </row>
    <row r="17" spans="1:17" ht="13.5" thickBot="1" x14ac:dyDescent="0.25">
      <c r="A17" s="16" t="s">
        <v>29</v>
      </c>
      <c r="B17" s="12"/>
      <c r="C17" s="12">
        <f>COUNT(C21:C2191)</f>
        <v>3</v>
      </c>
      <c r="D17" s="16" t="s">
        <v>34</v>
      </c>
      <c r="E17" s="35" t="s">
        <v>50</v>
      </c>
      <c r="F17" s="36">
        <f ca="1">+$C$15+$C$16*$F$16-15018.5-$C$9/24</f>
        <v>45502.428199062502</v>
      </c>
    </row>
    <row r="18" spans="1:17" ht="14.25" thickTop="1" thickBot="1" x14ac:dyDescent="0.25">
      <c r="A18" s="17" t="s">
        <v>5</v>
      </c>
      <c r="B18" s="12"/>
      <c r="C18" s="19">
        <f ca="1">+C15</f>
        <v>54251.40968085466</v>
      </c>
      <c r="D18" s="20">
        <f ca="1">+C16</f>
        <v>1.4177120499490068</v>
      </c>
      <c r="E18" s="38" t="s">
        <v>51</v>
      </c>
      <c r="F18" s="37">
        <f ca="1">+($C$15+$C$16*$F$16)-($C$16/2)-15018.5-$C$9/24</f>
        <v>45501.719343037526</v>
      </c>
    </row>
    <row r="19" spans="1:17" ht="13.5" thickTop="1" x14ac:dyDescent="0.2">
      <c r="A19" s="24" t="s">
        <v>35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28</v>
      </c>
      <c r="J20" s="7" t="s">
        <v>42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29" t="s">
        <v>45</v>
      </c>
      <c r="C21" s="10">
        <f>+C4</f>
        <v>33466.335800000001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-2.4834477319432245E-3</v>
      </c>
      <c r="Q21" s="2">
        <f>+C21-15018.5</f>
        <v>18447.835800000001</v>
      </c>
    </row>
    <row r="22" spans="1:17" x14ac:dyDescent="0.2">
      <c r="A22" t="s">
        <v>40</v>
      </c>
      <c r="C22" s="10">
        <v>40676.813000000002</v>
      </c>
      <c r="D22" s="10">
        <v>1E-3</v>
      </c>
      <c r="E22">
        <f>+(C22-C$7)/C$8</f>
        <v>5086.0126064103652</v>
      </c>
      <c r="F22">
        <f>ROUND(2*E22,0)/2</f>
        <v>5086</v>
      </c>
      <c r="G22">
        <f>+C22-(C$7+F22*C$8)</f>
        <v>1.7872199998237193E-2</v>
      </c>
      <c r="I22">
        <f>+G22</f>
        <v>1.7872199998237193E-2</v>
      </c>
      <c r="O22">
        <f ca="1">+C$11+C$12*$F22</f>
        <v>2.1674792917090437E-2</v>
      </c>
      <c r="Q22" s="2">
        <f>+C22-15018.5</f>
        <v>25658.313000000002</v>
      </c>
    </row>
    <row r="23" spans="1:17" x14ac:dyDescent="0.2">
      <c r="A23" s="26" t="s">
        <v>37</v>
      </c>
      <c r="B23" s="27" t="s">
        <v>38</v>
      </c>
      <c r="C23" s="26">
        <v>54251.410999999847</v>
      </c>
      <c r="D23" s="26">
        <v>4.0000000000000001E-3</v>
      </c>
      <c r="E23">
        <f>+(C23-C$7)/C$8</f>
        <v>14661.048299603061</v>
      </c>
      <c r="F23">
        <f>ROUND(2*E23,0)/2</f>
        <v>14661</v>
      </c>
      <c r="G23">
        <f>+C23-(C$7+F23*C$8)</f>
        <v>6.8474699844955467E-2</v>
      </c>
      <c r="J23">
        <f>+G23</f>
        <v>6.8474699844955467E-2</v>
      </c>
      <c r="O23">
        <f ca="1">+C$11+C$12*$F23</f>
        <v>6.7155554658045458E-2</v>
      </c>
      <c r="Q23" s="2">
        <f>+C23-15018.5</f>
        <v>39232.910999999847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2024-07-27T07:56:42Z</dcterms:modified>
</cp:coreProperties>
</file>