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F1B65EA-9CAB-4F4C-A309-F022F7D1968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E22" i="1"/>
  <c r="F22" i="1"/>
  <c r="C21" i="1"/>
  <c r="E21" i="1"/>
  <c r="F21" i="1"/>
  <c r="Q27" i="1"/>
  <c r="G16" i="2"/>
  <c r="C16" i="2"/>
  <c r="G17" i="2"/>
  <c r="C17" i="2"/>
  <c r="E17" i="2"/>
  <c r="G15" i="2"/>
  <c r="C15" i="2"/>
  <c r="G14" i="2"/>
  <c r="C14" i="2"/>
  <c r="G13" i="2"/>
  <c r="C13" i="2"/>
  <c r="G12" i="2"/>
  <c r="C12" i="2"/>
  <c r="G11" i="2"/>
  <c r="C11" i="2"/>
  <c r="E11" i="2"/>
  <c r="H16" i="2"/>
  <c r="D16" i="2"/>
  <c r="B16" i="2"/>
  <c r="A16" i="2"/>
  <c r="H17" i="2"/>
  <c r="D17" i="2"/>
  <c r="B17" i="2"/>
  <c r="A17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28" i="1"/>
  <c r="F16" i="1"/>
  <c r="C17" i="1"/>
  <c r="Q26" i="1"/>
  <c r="Q24" i="1"/>
  <c r="Q25" i="1"/>
  <c r="Q23" i="1"/>
  <c r="Q22" i="1"/>
  <c r="C7" i="1"/>
  <c r="E27" i="1"/>
  <c r="F27" i="1"/>
  <c r="C8" i="1"/>
  <c r="Q21" i="1"/>
  <c r="E15" i="2"/>
  <c r="E16" i="2"/>
  <c r="E13" i="2"/>
  <c r="E25" i="1"/>
  <c r="F25" i="1"/>
  <c r="E28" i="1"/>
  <c r="F28" i="1"/>
  <c r="G28" i="1"/>
  <c r="J28" i="1"/>
  <c r="E24" i="1"/>
  <c r="F24" i="1"/>
  <c r="G24" i="1"/>
  <c r="J24" i="1"/>
  <c r="E26" i="1"/>
  <c r="F26" i="1"/>
  <c r="G26" i="1"/>
  <c r="J26" i="1"/>
  <c r="G27" i="1"/>
  <c r="I27" i="1"/>
  <c r="G25" i="1"/>
  <c r="J25" i="1"/>
  <c r="E23" i="1"/>
  <c r="F23" i="1"/>
  <c r="G23" i="1"/>
  <c r="J23" i="1"/>
  <c r="G22" i="1"/>
  <c r="E14" i="2"/>
  <c r="J22" i="1"/>
  <c r="E12" i="2"/>
  <c r="C11" i="1"/>
  <c r="C12" i="1"/>
  <c r="C16" i="1" l="1"/>
  <c r="D18" i="1" s="1"/>
  <c r="O28" i="1"/>
  <c r="O23" i="1"/>
  <c r="O21" i="1"/>
  <c r="O25" i="1"/>
  <c r="O26" i="1"/>
  <c r="O24" i="1"/>
  <c r="O27" i="1"/>
  <c r="C15" i="1"/>
  <c r="F18" i="1" s="1"/>
  <c r="O22" i="1"/>
  <c r="F17" i="1"/>
  <c r="C18" i="1" l="1"/>
  <c r="F19" i="1"/>
</calcChain>
</file>

<file path=xl/sharedStrings.xml><?xml version="1.0" encoding="utf-8"?>
<sst xmlns="http://schemas.openxmlformats.org/spreadsheetml/2006/main" count="128" uniqueCount="95">
  <si>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</si>
  <si>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</si>
  <si>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</si>
  <si>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</si>
  <si>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</si>
  <si>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</si>
  <si>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</si>
  <si>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</si>
  <si>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</si>
  <si>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</si>
  <si>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</si>
  <si>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</si>
  <si>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</si>
  <si>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</si>
  <si>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</si>
  <si>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</si>
  <si>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</si>
  <si>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</si>
  <si>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</si>
  <si>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</si>
  <si>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</si>
  <si>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</si>
  <si>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</si>
  <si>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</si>
  <si>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</si>
  <si>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</si>
  <si>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</si>
  <si>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</si>
  <si>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</t>
  </si>
  <si>
    <t>IBVS 5643</t>
  </si>
  <si>
    <t>IBVS 5657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</si>
  <si>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</si>
  <si>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</si>
  <si>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</si>
  <si>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</si>
  <si>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</si>
  <si>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</si>
  <si>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</si>
  <si>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</si>
  <si>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</si>
  <si>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Add cycle</t>
  </si>
  <si>
    <t>Old Cycle</t>
  </si>
  <si>
    <t>Start of linear fit &gt;&gt;&gt;&gt;&gt;&gt;&gt;&gt;&gt;&gt;&gt;&gt;&gt;&gt;&gt;&gt;&gt;&gt;&gt;&gt;&gt;</t>
  </si>
  <si>
    <t>IBVS 6010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</si>
  <si>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</si>
  <si>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</si>
  <si>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</si>
  <si>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</si>
  <si>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</si>
  <si>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</si>
  <si>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</si>
  <si>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</si>
  <si>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</si>
  <si>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</si>
  <si>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</si>
  <si>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2452877.5005 </t>
  </si>
  <si>
    <t> 26.08.2003 00:00 </t>
  </si>
  <si>
    <t> 0.1001 </t>
  </si>
  <si>
    <t>E </t>
  </si>
  <si>
    <t>o</t>
  </si>
  <si>
    <t> P.Frank </t>
  </si>
  <si>
    <t>BAVM 172 </t>
  </si>
  <si>
    <t>2453227.4418 </t>
  </si>
  <si>
    <t> 09.08.2004 22:36 </t>
  </si>
  <si>
    <t> 0.0935 </t>
  </si>
  <si>
    <t>-I</t>
  </si>
  <si>
    <t>BAVM 173 </t>
  </si>
  <si>
    <t>2453516.5277 </t>
  </si>
  <si>
    <t> 26.05.2005 00:39 </t>
  </si>
  <si>
    <t>8444</t>
  </si>
  <si>
    <t> 0.0920 </t>
  </si>
  <si>
    <t>C </t>
  </si>
  <si>
    <t> F.Agerer </t>
  </si>
  <si>
    <t>BAVM 178 </t>
  </si>
  <si>
    <t>2453614.3415 </t>
  </si>
  <si>
    <t> 31.08.2005 20:11 </t>
  </si>
  <si>
    <t>8489</t>
  </si>
  <si>
    <t> 0.0942 </t>
  </si>
  <si>
    <t>2453990.3720 </t>
  </si>
  <si>
    <t> 11.09.2006 20:55 </t>
  </si>
  <si>
    <t>8662</t>
  </si>
  <si>
    <t> 0.0938 </t>
  </si>
  <si>
    <t> F. Agerer </t>
  </si>
  <si>
    <t>BAVM 183 </t>
  </si>
  <si>
    <t>2455068.4650 </t>
  </si>
  <si>
    <t> 24.08.2009 23:09 </t>
  </si>
  <si>
    <t>9158</t>
  </si>
  <si>
    <t> 0.0864 </t>
  </si>
  <si>
    <t>BAVM 212 </t>
  </si>
  <si>
    <t>2455707.4948 </t>
  </si>
  <si>
    <t> 25.05.2011 23:52 </t>
  </si>
  <si>
    <t>9452</t>
  </si>
  <si>
    <t> 0.0808 </t>
  </si>
  <si>
    <t>BAVM 220 </t>
  </si>
  <si>
    <t>V0856 Cyg /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</si>
</sst>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8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0" fontId="11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V0856 Cyg - O-C Diagr.</a:t>
            </a:r>
          </a:p>
        </c:rich>
      </c:tx>
      <c:layout>
        <c:manualLayout>
          <c:xMode val="edge"/>
          <c:yMode val="edge"/>
          <c:x val="0.363489838406709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678942920199375"/>
          <c:w val="0.81098610014427575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01-4443-B9B5-E20B1A9833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8.635899999353569E-2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01-4443-B9B5-E20B1A9833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0.10007500000210712</c:v>
                </c:pt>
                <c:pt idx="2">
                  <c:v>9.3465500001912005E-2</c:v>
                </c:pt>
                <c:pt idx="3">
                  <c:v>9.196199999860255E-2</c:v>
                </c:pt>
                <c:pt idx="4">
                  <c:v>9.4234500000311527E-2</c:v>
                </c:pt>
                <c:pt idx="5">
                  <c:v>9.3751000007614493E-2</c:v>
                </c:pt>
                <c:pt idx="7">
                  <c:v>8.0845999997109175E-2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01-4443-B9B5-E20B1A9833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01-4443-B9B5-E20B1A9833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01-4443-B9B5-E20B1A9833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01-4443-B9B5-E20B1A9833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01-4443-B9B5-E20B1A9833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0.19961233167690895</c:v>
                </c:pt>
                <c:pt idx="1">
                  <c:v>9.796996903295789E-2</c:v>
                </c:pt>
                <c:pt idx="2">
                  <c:v>9.5962064691157131E-2</c:v>
                </c:pt>
                <c:pt idx="3">
                  <c:v>9.4303361104452171E-2</c:v>
                </c:pt>
                <c:pt idx="4">
                  <c:v>9.3742145605191091E-2</c:v>
                </c:pt>
                <c:pt idx="5">
                  <c:v>9.1584583796920721E-2</c:v>
                </c:pt>
                <c:pt idx="6">
                  <c:v>8.5398741849509713E-2</c:v>
                </c:pt>
                <c:pt idx="7">
                  <c:v>8.173213392100398E-2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01-4443-B9B5-E20B1A983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156136"/>
        <c:axId val="1"/>
      </c:scatterChart>
      <c:valAx>
        <c:axId val="770156136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156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4734246668278"/>
          <c:y val="0.9204921861831491"/>
          <c:w val="0.67528322287662346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V0856 Cyg - O-C Diagr.</a:t>
            </a:r>
          </a:p>
        </c:rich>
      </c:tx>
      <c:layout>
        <c:manualLayout>
          <c:xMode val="edge"/>
          <c:yMode val="edge"/>
          <c:x val="0.362903225806451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14634168126798494"/>
          <c:w val="0.8161290322580645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4D-41E7-B052-E82BE5A5551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6">
                  <c:v>8.635899999353569E-2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4D-41E7-B052-E82BE5A5551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0.10007500000210712</c:v>
                </c:pt>
                <c:pt idx="2">
                  <c:v>9.3465500001912005E-2</c:v>
                </c:pt>
                <c:pt idx="3">
                  <c:v>9.196199999860255E-2</c:v>
                </c:pt>
                <c:pt idx="4">
                  <c:v>9.4234500000311527E-2</c:v>
                </c:pt>
                <c:pt idx="5">
                  <c:v>9.3751000007614493E-2</c:v>
                </c:pt>
                <c:pt idx="7">
                  <c:v>8.0845999997109175E-2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4D-41E7-B052-E82BE5A5551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4D-41E7-B052-E82BE5A5551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4D-41E7-B052-E82BE5A5551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4D-41E7-B052-E82BE5A5551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8.0000000000000004E-4</c:v>
                  </c:pt>
                  <c:pt idx="3">
                    <c:v>2.0000000000000001E-4</c:v>
                  </c:pt>
                  <c:pt idx="4">
                    <c:v>1E-3</c:v>
                  </c:pt>
                  <c:pt idx="5">
                    <c:v>1.6000000000000001E-3</c:v>
                  </c:pt>
                  <c:pt idx="6">
                    <c:v>0</c:v>
                  </c:pt>
                  <c:pt idx="7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4D-41E7-B052-E82BE5A5551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8150</c:v>
                </c:pt>
                <c:pt idx="2">
                  <c:v>8311</c:v>
                </c:pt>
                <c:pt idx="3">
                  <c:v>8444</c:v>
                </c:pt>
                <c:pt idx="4">
                  <c:v>8489</c:v>
                </c:pt>
                <c:pt idx="5">
                  <c:v>8662</c:v>
                </c:pt>
                <c:pt idx="6">
                  <c:v>9158</c:v>
                </c:pt>
                <c:pt idx="7">
                  <c:v>9452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0.19961233167690895</c:v>
                </c:pt>
                <c:pt idx="1">
                  <c:v>9.796996903295789E-2</c:v>
                </c:pt>
                <c:pt idx="2">
                  <c:v>9.5962064691157131E-2</c:v>
                </c:pt>
                <c:pt idx="3">
                  <c:v>9.4303361104452171E-2</c:v>
                </c:pt>
                <c:pt idx="4">
                  <c:v>9.3742145605191091E-2</c:v>
                </c:pt>
                <c:pt idx="5">
                  <c:v>9.1584583796920721E-2</c:v>
                </c:pt>
                <c:pt idx="6">
                  <c:v>8.5398741849509713E-2</c:v>
                </c:pt>
                <c:pt idx="7">
                  <c:v>8.173213392100398E-2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4D-41E7-B052-E82BE5A55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183416"/>
        <c:axId val="1"/>
      </c:scatterChart>
      <c:valAx>
        <c:axId val="461183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183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45161290322581"/>
          <c:y val="0.92073298764483702"/>
          <c:w val="0.67419354838709677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16</xdr:col>
      <xdr:colOff>381000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6CFF457-A909-4956-4B21-73C56E4CA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0</xdr:rowOff>
    </xdr:from>
    <xdr:to>
      <xdr:col>26</xdr:col>
      <xdr:colOff>38100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77F90BBD-1512-8537-2A12-3F26D2106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sfs/BAVM_link.php?BAVMnr=172" TargetMode="External"/><Relationship Id="rId6" Type="http://schemas.openxmlformats.org/officeDocument/2006/relationships/hyperlink" Target="http://www.bav-astro.de/sfs/BAVM_link.php?BAVMnr=212" TargetMode="External"/><Relationship Id="rId5" Type="http://schemas.openxmlformats.org/officeDocument/2006/relationships/hyperlink" Target="http://www.bav-astro.de/sfs/BAVM_link.php?BAVMnr=183" TargetMode="External"/><Relationship Id="rId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94</v>
      </c>
    </row>
    <row r="2" spans="1:6" x14ac:dyDescent="0.2">
      <c r="A2" t="s">
        <v>24</v>
      </c>
      <c r="B2" s="9" t="s">
        <v>28</v>
      </c>
    </row>
    <row r="4" spans="1:6" ht="14.25" thickTop="1" thickBot="1" x14ac:dyDescent="0.25">
      <c r="A4" s="6" t="s">
        <v>0</v>
      </c>
      <c r="C4" s="3">
        <v>35162.646000000001</v>
      </c>
      <c r="D4" s="4">
        <v>2.1735894999999998</v>
      </c>
    </row>
    <row r="5" spans="1:6" ht="13.5" thickTop="1" x14ac:dyDescent="0.2">
      <c r="A5" s="15" t="s">
        <v>33</v>
      </c>
      <c r="B5" s="9"/>
      <c r="C5" s="16">
        <v>-9.5</v>
      </c>
      <c r="D5" s="9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35162.646000000001</v>
      </c>
    </row>
    <row r="8" spans="1:6" x14ac:dyDescent="0.2">
      <c r="A8" t="s">
        <v>3</v>
      </c>
      <c r="C8">
        <f>+D4</f>
        <v>2.1735894999999998</v>
      </c>
    </row>
    <row r="9" spans="1:6" x14ac:dyDescent="0.2">
      <c r="A9" s="31" t="s">
        <v>42</v>
      </c>
      <c r="B9" s="32">
        <v>21</v>
      </c>
      <c r="C9" s="29" t="str">
        <f>"F"&amp;B9</f>
        <v>F21</v>
      </c>
      <c r="D9" s="30" t="str">
        <f>"G"&amp;B9</f>
        <v>G21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28">
        <f ca="1">INTERCEPT(INDIRECT($D$9):G992,INDIRECT($C$9):F992)</f>
        <v>0.19961233167690895</v>
      </c>
      <c r="D11" s="17"/>
      <c r="E11" s="9"/>
    </row>
    <row r="12" spans="1:6" x14ac:dyDescent="0.2">
      <c r="A12" s="9" t="s">
        <v>17</v>
      </c>
      <c r="B12" s="9"/>
      <c r="C12" s="28">
        <f ca="1">SLOPE(INDIRECT($D$9):G992,INDIRECT($C$9):F992)</f>
        <v>-1.24714555391351E-5</v>
      </c>
      <c r="D12" s="17"/>
      <c r="E12" s="9"/>
    </row>
    <row r="13" spans="1:6" x14ac:dyDescent="0.2">
      <c r="A13" s="9" t="s">
        <v>19</v>
      </c>
      <c r="B13" s="9"/>
      <c r="C13" s="17" t="s">
        <v>14</v>
      </c>
    </row>
    <row r="14" spans="1:6" x14ac:dyDescent="0.2">
      <c r="A14" s="9"/>
      <c r="B14" s="9"/>
      <c r="C14" s="9"/>
    </row>
    <row r="15" spans="1:6" x14ac:dyDescent="0.2">
      <c r="A15" s="18" t="s">
        <v>18</v>
      </c>
      <c r="B15" s="9"/>
      <c r="C15" s="19">
        <f ca="1">(C7+C11)+(C8+C12)*INT(MAX(F21:F3533))</f>
        <v>55707.495686133923</v>
      </c>
      <c r="E15" s="20" t="s">
        <v>40</v>
      </c>
      <c r="F15" s="16">
        <v>1</v>
      </c>
    </row>
    <row r="16" spans="1:6" x14ac:dyDescent="0.2">
      <c r="A16" s="22" t="s">
        <v>4</v>
      </c>
      <c r="B16" s="9"/>
      <c r="C16" s="23">
        <f ca="1">+C8+C12</f>
        <v>2.1735770285444609</v>
      </c>
      <c r="E16" s="20" t="s">
        <v>35</v>
      </c>
      <c r="F16" s="21">
        <f ca="1">NOW()+15018.5+$C$5/24</f>
        <v>60342.690522685181</v>
      </c>
    </row>
    <row r="17" spans="1:17" ht="13.5" thickBot="1" x14ac:dyDescent="0.25">
      <c r="A17" s="20" t="s">
        <v>31</v>
      </c>
      <c r="B17" s="9"/>
      <c r="C17" s="9">
        <f>COUNT(C21:C2191)</f>
        <v>8</v>
      </c>
      <c r="E17" s="20" t="s">
        <v>41</v>
      </c>
      <c r="F17" s="21">
        <f ca="1">ROUND(2*(F16-$C$7)/$C$8,0)/2+F15</f>
        <v>11585.5</v>
      </c>
    </row>
    <row r="18" spans="1:17" ht="14.25" thickTop="1" thickBot="1" x14ac:dyDescent="0.25">
      <c r="A18" s="22" t="s">
        <v>5</v>
      </c>
      <c r="B18" s="9"/>
      <c r="C18" s="25">
        <f ca="1">+C15</f>
        <v>55707.495686133923</v>
      </c>
      <c r="D18" s="26">
        <f ca="1">+C16</f>
        <v>2.1735770285444609</v>
      </c>
      <c r="E18" s="20" t="s">
        <v>36</v>
      </c>
      <c r="F18" s="30">
        <f ca="1">ROUND(2*(F16-$C$15)/$C$16,0)/2+F15</f>
        <v>2133.5</v>
      </c>
    </row>
    <row r="19" spans="1:17" ht="13.5" thickTop="1" x14ac:dyDescent="0.2">
      <c r="E19" s="20" t="s">
        <v>37</v>
      </c>
      <c r="F19" s="24">
        <f ca="1">+$C$15+$C$16*F18-15018.5-$C$5/24</f>
        <v>45326.718109866866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51</v>
      </c>
      <c r="I20" s="8" t="s">
        <v>54</v>
      </c>
      <c r="J20" s="8" t="s">
        <v>48</v>
      </c>
      <c r="K20" s="8" t="s">
        <v>46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3">
        <f>+C4</f>
        <v>35162.646000000001</v>
      </c>
      <c r="D21" s="13" t="s">
        <v>14</v>
      </c>
      <c r="E21">
        <f t="shared" ref="E21:E28" si="0">+(C21-C$7)/C$8</f>
        <v>0</v>
      </c>
      <c r="F21">
        <f t="shared" ref="F21:F28" si="1">ROUND(2*E21,0)/2</f>
        <v>0</v>
      </c>
      <c r="H21">
        <v>0</v>
      </c>
      <c r="O21">
        <f t="shared" ref="O21:O28" ca="1" si="2">+C$11+C$12*$F21</f>
        <v>0.19961233167690895</v>
      </c>
      <c r="Q21" s="2">
        <f t="shared" ref="Q21:Q28" si="3">+C21-15018.5</f>
        <v>20144.146000000001</v>
      </c>
    </row>
    <row r="22" spans="1:17" x14ac:dyDescent="0.2">
      <c r="A22" s="10" t="s">
        <v>29</v>
      </c>
      <c r="B22" s="11"/>
      <c r="C22" s="14">
        <v>52877.500500000002</v>
      </c>
      <c r="D22" s="14">
        <v>1.8E-3</v>
      </c>
      <c r="E22">
        <f t="shared" si="0"/>
        <v>8150.046041352336</v>
      </c>
      <c r="F22">
        <f t="shared" si="1"/>
        <v>8150</v>
      </c>
      <c r="G22">
        <f t="shared" ref="G22:G28" si="4">+C22-(C$7+F22*C$8)</f>
        <v>0.10007500000210712</v>
      </c>
      <c r="J22">
        <f>+G22</f>
        <v>0.10007500000210712</v>
      </c>
      <c r="O22">
        <f t="shared" ca="1" si="2"/>
        <v>9.796996903295789E-2</v>
      </c>
      <c r="Q22" s="2">
        <f t="shared" si="3"/>
        <v>37859.000500000002</v>
      </c>
    </row>
    <row r="23" spans="1:17" x14ac:dyDescent="0.2">
      <c r="A23" s="10" t="s">
        <v>30</v>
      </c>
      <c r="B23" s="12"/>
      <c r="C23" s="13">
        <v>53227.441800000001</v>
      </c>
      <c r="D23" s="13">
        <v>8.0000000000000004E-4</v>
      </c>
      <c r="E23">
        <f t="shared" si="0"/>
        <v>8311.0430005297694</v>
      </c>
      <c r="F23">
        <f t="shared" si="1"/>
        <v>8311</v>
      </c>
      <c r="G23">
        <f t="shared" si="4"/>
        <v>9.3465500001912005E-2</v>
      </c>
      <c r="J23">
        <f>+G23</f>
        <v>9.3465500001912005E-2</v>
      </c>
      <c r="O23">
        <f t="shared" ca="1" si="2"/>
        <v>9.5962064691157131E-2</v>
      </c>
      <c r="Q23" s="2">
        <f t="shared" si="3"/>
        <v>38208.941800000001</v>
      </c>
    </row>
    <row r="24" spans="1:17" x14ac:dyDescent="0.2">
      <c r="A24" s="9" t="s">
        <v>32</v>
      </c>
      <c r="B24" s="11"/>
      <c r="C24" s="13">
        <v>53516.527699999999</v>
      </c>
      <c r="D24" s="13">
        <v>2.0000000000000001E-4</v>
      </c>
      <c r="E24">
        <f t="shared" si="0"/>
        <v>8444.0423088168209</v>
      </c>
      <c r="F24">
        <f t="shared" si="1"/>
        <v>8444</v>
      </c>
      <c r="G24">
        <f t="shared" si="4"/>
        <v>9.196199999860255E-2</v>
      </c>
      <c r="J24">
        <f>+G24</f>
        <v>9.196199999860255E-2</v>
      </c>
      <c r="O24">
        <f t="shared" ca="1" si="2"/>
        <v>9.4303361104452171E-2</v>
      </c>
      <c r="Q24" s="2">
        <f t="shared" si="3"/>
        <v>38498.027699999999</v>
      </c>
    </row>
    <row r="25" spans="1:17" x14ac:dyDescent="0.2">
      <c r="A25" s="9" t="s">
        <v>32</v>
      </c>
      <c r="B25" s="11"/>
      <c r="C25" s="13">
        <v>53614.341500000002</v>
      </c>
      <c r="D25" s="13">
        <v>1E-3</v>
      </c>
      <c r="E25">
        <f t="shared" si="0"/>
        <v>8489.0433543224244</v>
      </c>
      <c r="F25">
        <f t="shared" si="1"/>
        <v>8489</v>
      </c>
      <c r="G25">
        <f t="shared" si="4"/>
        <v>9.4234500000311527E-2</v>
      </c>
      <c r="J25">
        <f>+G25</f>
        <v>9.4234500000311527E-2</v>
      </c>
      <c r="O25">
        <f t="shared" ca="1" si="2"/>
        <v>9.3742145605191091E-2</v>
      </c>
      <c r="Q25" s="2">
        <f t="shared" si="3"/>
        <v>38595.841500000002</v>
      </c>
    </row>
    <row r="26" spans="1:17" x14ac:dyDescent="0.2">
      <c r="A26" s="27" t="s">
        <v>38</v>
      </c>
      <c r="B26" s="12" t="s">
        <v>39</v>
      </c>
      <c r="C26" s="13">
        <v>53990.372000000003</v>
      </c>
      <c r="D26" s="13">
        <v>1.6000000000000001E-3</v>
      </c>
      <c r="E26">
        <f t="shared" si="0"/>
        <v>8662.0431318793198</v>
      </c>
      <c r="F26">
        <f t="shared" si="1"/>
        <v>8662</v>
      </c>
      <c r="G26">
        <f t="shared" si="4"/>
        <v>9.3751000007614493E-2</v>
      </c>
      <c r="J26">
        <f>+G26</f>
        <v>9.3751000007614493E-2</v>
      </c>
      <c r="O26">
        <f t="shared" ca="1" si="2"/>
        <v>9.1584583796920721E-2</v>
      </c>
      <c r="Q26" s="2">
        <f t="shared" si="3"/>
        <v>38971.872000000003</v>
      </c>
    </row>
    <row r="27" spans="1:17" x14ac:dyDescent="0.2">
      <c r="A27" s="48" t="s">
        <v>88</v>
      </c>
      <c r="B27" s="50" t="s">
        <v>39</v>
      </c>
      <c r="C27" s="49">
        <v>55068.464999999997</v>
      </c>
      <c r="D27" s="49" t="s">
        <v>54</v>
      </c>
      <c r="E27">
        <f t="shared" si="0"/>
        <v>9158.0397310531716</v>
      </c>
      <c r="F27">
        <f t="shared" si="1"/>
        <v>9158</v>
      </c>
      <c r="G27">
        <f t="shared" si="4"/>
        <v>8.635899999353569E-2</v>
      </c>
      <c r="I27">
        <f>+G27</f>
        <v>8.635899999353569E-2</v>
      </c>
      <c r="O27">
        <f t="shared" ca="1" si="2"/>
        <v>8.5398741849509713E-2</v>
      </c>
      <c r="Q27" s="2">
        <f t="shared" si="3"/>
        <v>40049.964999999997</v>
      </c>
    </row>
    <row r="28" spans="1:17" x14ac:dyDescent="0.2">
      <c r="A28" s="33" t="s">
        <v>43</v>
      </c>
      <c r="B28" s="34" t="s">
        <v>39</v>
      </c>
      <c r="C28" s="33">
        <v>55707.4948</v>
      </c>
      <c r="D28" s="33">
        <v>3.0000000000000001E-3</v>
      </c>
      <c r="E28">
        <f t="shared" si="0"/>
        <v>9452.0371946956875</v>
      </c>
      <c r="F28">
        <f t="shared" si="1"/>
        <v>9452</v>
      </c>
      <c r="G28">
        <f t="shared" si="4"/>
        <v>8.0845999997109175E-2</v>
      </c>
      <c r="J28">
        <f>+G28</f>
        <v>8.0845999997109175E-2</v>
      </c>
      <c r="O28">
        <f t="shared" ca="1" si="2"/>
        <v>8.173213392100398E-2</v>
      </c>
      <c r="Q28" s="2">
        <f t="shared" si="3"/>
        <v>40688.9948</v>
      </c>
    </row>
    <row r="29" spans="1:17" x14ac:dyDescent="0.2">
      <c r="C29" s="13"/>
      <c r="D29" s="13"/>
      <c r="Q29" s="2"/>
    </row>
    <row r="30" spans="1:17" x14ac:dyDescent="0.2">
      <c r="C30" s="13"/>
      <c r="D30" s="13"/>
      <c r="Q30" s="2"/>
    </row>
    <row r="31" spans="1:17" x14ac:dyDescent="0.2">
      <c r="C31" s="13"/>
      <c r="D31" s="13"/>
      <c r="Q31" s="2"/>
    </row>
    <row r="32" spans="1:17" x14ac:dyDescent="0.2">
      <c r="C32" s="13"/>
      <c r="D32" s="13"/>
      <c r="Q32" s="2"/>
    </row>
    <row r="33" spans="3:17" x14ac:dyDescent="0.2">
      <c r="C33" s="13"/>
      <c r="D33" s="13"/>
      <c r="Q33" s="2"/>
    </row>
    <row r="34" spans="3:17" x14ac:dyDescent="0.2">
      <c r="C34" s="13"/>
      <c r="D34" s="13"/>
    </row>
    <row r="35" spans="3:17" x14ac:dyDescent="0.2">
      <c r="C35" s="13"/>
      <c r="D35" s="13"/>
    </row>
    <row r="36" spans="3:17" x14ac:dyDescent="0.2">
      <c r="C36" s="13"/>
      <c r="D36" s="13"/>
    </row>
    <row r="37" spans="3:17" x14ac:dyDescent="0.2">
      <c r="C37" s="13"/>
      <c r="D37" s="13"/>
    </row>
    <row r="38" spans="3:17" x14ac:dyDescent="0.2">
      <c r="C38" s="13"/>
      <c r="D38" s="13"/>
    </row>
    <row r="39" spans="3:17" x14ac:dyDescent="0.2">
      <c r="C39" s="13"/>
      <c r="D39" s="13"/>
    </row>
    <row r="40" spans="3:17" x14ac:dyDescent="0.2">
      <c r="C40" s="13"/>
      <c r="D40" s="13"/>
    </row>
    <row r="41" spans="3:17" x14ac:dyDescent="0.2">
      <c r="C41" s="13"/>
      <c r="D41" s="13"/>
    </row>
    <row r="42" spans="3:17" x14ac:dyDescent="0.2">
      <c r="C42" s="13"/>
      <c r="D42" s="13"/>
    </row>
    <row r="43" spans="3:17" x14ac:dyDescent="0.2">
      <c r="C43" s="13"/>
      <c r="D43" s="13"/>
    </row>
    <row r="44" spans="3:17" x14ac:dyDescent="0.2">
      <c r="C44" s="13"/>
      <c r="D44" s="13"/>
    </row>
    <row r="45" spans="3:17" x14ac:dyDescent="0.2">
      <c r="C45" s="13"/>
      <c r="D45" s="13"/>
    </row>
    <row r="46" spans="3:17" x14ac:dyDescent="0.2">
      <c r="C46" s="13"/>
      <c r="D46" s="13"/>
    </row>
    <row r="47" spans="3:17" x14ac:dyDescent="0.2">
      <c r="C47" s="13"/>
      <c r="D47" s="13"/>
    </row>
    <row r="48" spans="3:17" x14ac:dyDescent="0.2">
      <c r="C48" s="13"/>
      <c r="D48" s="13"/>
    </row>
    <row r="49" spans="3:4" x14ac:dyDescent="0.2">
      <c r="C49" s="13"/>
      <c r="D49" s="13"/>
    </row>
    <row r="50" spans="3:4" x14ac:dyDescent="0.2">
      <c r="C50" s="13"/>
      <c r="D50" s="13"/>
    </row>
    <row r="51" spans="3:4" x14ac:dyDescent="0.2">
      <c r="C51" s="13"/>
      <c r="D51" s="13"/>
    </row>
    <row r="52" spans="3:4" x14ac:dyDescent="0.2">
      <c r="C52" s="13"/>
      <c r="D52" s="13"/>
    </row>
    <row r="53" spans="3:4" x14ac:dyDescent="0.2">
      <c r="C53" s="13"/>
      <c r="D53" s="13"/>
    </row>
    <row r="54" spans="3:4" x14ac:dyDescent="0.2">
      <c r="C54" s="13"/>
      <c r="D54" s="13"/>
    </row>
    <row r="55" spans="3:4" x14ac:dyDescent="0.2">
      <c r="C55" s="13"/>
      <c r="D55" s="13"/>
    </row>
    <row r="56" spans="3:4" x14ac:dyDescent="0.2">
      <c r="C56" s="13"/>
      <c r="D56" s="13"/>
    </row>
    <row r="57" spans="3:4" x14ac:dyDescent="0.2">
      <c r="C57" s="13"/>
      <c r="D57" s="13"/>
    </row>
    <row r="58" spans="3:4" x14ac:dyDescent="0.2">
      <c r="C58" s="13"/>
      <c r="D58" s="13"/>
    </row>
    <row r="59" spans="3:4" x14ac:dyDescent="0.2">
      <c r="C59" s="13"/>
      <c r="D59" s="13"/>
    </row>
    <row r="60" spans="3:4" x14ac:dyDescent="0.2">
      <c r="C60" s="13"/>
      <c r="D60" s="13"/>
    </row>
    <row r="61" spans="3:4" x14ac:dyDescent="0.2">
      <c r="C61" s="13"/>
      <c r="D61" s="13"/>
    </row>
    <row r="62" spans="3:4" x14ac:dyDescent="0.2">
      <c r="C62" s="13"/>
      <c r="D62" s="13"/>
    </row>
    <row r="63" spans="3:4" x14ac:dyDescent="0.2">
      <c r="C63" s="13"/>
      <c r="D63" s="13"/>
    </row>
    <row r="64" spans="3:4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  <row r="451" spans="3:4" x14ac:dyDescent="0.2">
      <c r="C451" s="13"/>
      <c r="D451" s="13"/>
    </row>
    <row r="452" spans="3:4" x14ac:dyDescent="0.2">
      <c r="C452" s="13"/>
      <c r="D452" s="13"/>
    </row>
    <row r="453" spans="3:4" x14ac:dyDescent="0.2">
      <c r="C453" s="13"/>
      <c r="D453" s="13"/>
    </row>
    <row r="454" spans="3:4" x14ac:dyDescent="0.2">
      <c r="C454" s="13"/>
      <c r="D454" s="13"/>
    </row>
    <row r="455" spans="3:4" x14ac:dyDescent="0.2">
      <c r="C455" s="13"/>
      <c r="D455" s="13"/>
    </row>
    <row r="456" spans="3:4" x14ac:dyDescent="0.2">
      <c r="C456" s="13"/>
      <c r="D456" s="13"/>
    </row>
    <row r="457" spans="3:4" x14ac:dyDescent="0.2">
      <c r="C457" s="13"/>
      <c r="D457" s="13"/>
    </row>
    <row r="458" spans="3:4" x14ac:dyDescent="0.2">
      <c r="C458" s="13"/>
      <c r="D458" s="13"/>
    </row>
    <row r="459" spans="3:4" x14ac:dyDescent="0.2">
      <c r="C459" s="13"/>
      <c r="D459" s="13"/>
    </row>
    <row r="460" spans="3:4" x14ac:dyDescent="0.2">
      <c r="C460" s="13"/>
      <c r="D460" s="13"/>
    </row>
    <row r="461" spans="3:4" x14ac:dyDescent="0.2">
      <c r="C461" s="13"/>
      <c r="D461" s="13"/>
    </row>
    <row r="462" spans="3:4" x14ac:dyDescent="0.2">
      <c r="C462" s="13"/>
      <c r="D462" s="13"/>
    </row>
    <row r="463" spans="3:4" x14ac:dyDescent="0.2">
      <c r="C463" s="13"/>
      <c r="D463" s="13"/>
    </row>
    <row r="464" spans="3:4" x14ac:dyDescent="0.2">
      <c r="C464" s="13"/>
      <c r="D464" s="13"/>
    </row>
    <row r="465" spans="3:4" x14ac:dyDescent="0.2">
      <c r="C465" s="13"/>
      <c r="D465" s="13"/>
    </row>
    <row r="466" spans="3:4" x14ac:dyDescent="0.2">
      <c r="C466" s="13"/>
      <c r="D466" s="13"/>
    </row>
    <row r="467" spans="3:4" x14ac:dyDescent="0.2">
      <c r="C467" s="13"/>
      <c r="D467" s="13"/>
    </row>
    <row r="468" spans="3:4" x14ac:dyDescent="0.2">
      <c r="C468" s="13"/>
      <c r="D468" s="13"/>
    </row>
    <row r="469" spans="3:4" x14ac:dyDescent="0.2">
      <c r="C469" s="13"/>
      <c r="D469" s="13"/>
    </row>
    <row r="470" spans="3:4" x14ac:dyDescent="0.2">
      <c r="C470" s="13"/>
      <c r="D470" s="13"/>
    </row>
    <row r="471" spans="3:4" x14ac:dyDescent="0.2">
      <c r="C471" s="13"/>
      <c r="D471" s="13"/>
    </row>
    <row r="472" spans="3:4" x14ac:dyDescent="0.2">
      <c r="C472" s="13"/>
      <c r="D472" s="13"/>
    </row>
    <row r="473" spans="3:4" x14ac:dyDescent="0.2">
      <c r="C473" s="13"/>
      <c r="D473" s="13"/>
    </row>
    <row r="474" spans="3:4" x14ac:dyDescent="0.2">
      <c r="C474" s="13"/>
      <c r="D474" s="13"/>
    </row>
    <row r="475" spans="3:4" x14ac:dyDescent="0.2">
      <c r="C475" s="13"/>
      <c r="D475" s="13"/>
    </row>
    <row r="476" spans="3:4" x14ac:dyDescent="0.2">
      <c r="C476" s="13"/>
      <c r="D476" s="13"/>
    </row>
    <row r="477" spans="3:4" x14ac:dyDescent="0.2">
      <c r="C477" s="13"/>
      <c r="D477" s="13"/>
    </row>
    <row r="478" spans="3:4" x14ac:dyDescent="0.2">
      <c r="C478" s="13"/>
      <c r="D478" s="13"/>
    </row>
    <row r="479" spans="3:4" x14ac:dyDescent="0.2">
      <c r="C479" s="13"/>
      <c r="D479" s="13"/>
    </row>
    <row r="480" spans="3:4" x14ac:dyDescent="0.2">
      <c r="C480" s="13"/>
      <c r="D480" s="13"/>
    </row>
    <row r="481" spans="3:4" x14ac:dyDescent="0.2">
      <c r="C481" s="13"/>
      <c r="D481" s="13"/>
    </row>
    <row r="482" spans="3:4" x14ac:dyDescent="0.2">
      <c r="C482" s="13"/>
      <c r="D482" s="13"/>
    </row>
    <row r="483" spans="3:4" x14ac:dyDescent="0.2">
      <c r="C483" s="13"/>
      <c r="D483" s="13"/>
    </row>
    <row r="484" spans="3:4" x14ac:dyDescent="0.2">
      <c r="C484" s="13"/>
      <c r="D484" s="13"/>
    </row>
    <row r="485" spans="3:4" x14ac:dyDescent="0.2">
      <c r="C485" s="13"/>
      <c r="D485" s="13"/>
    </row>
    <row r="486" spans="3:4" x14ac:dyDescent="0.2">
      <c r="C486" s="13"/>
      <c r="D486" s="13"/>
    </row>
    <row r="487" spans="3:4" x14ac:dyDescent="0.2">
      <c r="C487" s="13"/>
      <c r="D487" s="13"/>
    </row>
    <row r="488" spans="3:4" x14ac:dyDescent="0.2">
      <c r="C488" s="13"/>
      <c r="D488" s="13"/>
    </row>
    <row r="489" spans="3:4" x14ac:dyDescent="0.2">
      <c r="C489" s="13"/>
      <c r="D489" s="13"/>
    </row>
    <row r="490" spans="3:4" x14ac:dyDescent="0.2">
      <c r="C490" s="13"/>
      <c r="D490" s="13"/>
    </row>
    <row r="491" spans="3:4" x14ac:dyDescent="0.2">
      <c r="C491" s="13"/>
      <c r="D491" s="13"/>
    </row>
    <row r="492" spans="3:4" x14ac:dyDescent="0.2">
      <c r="C492" s="13"/>
      <c r="D492" s="13"/>
    </row>
    <row r="493" spans="3:4" x14ac:dyDescent="0.2">
      <c r="C493" s="13"/>
      <c r="D493" s="13"/>
    </row>
    <row r="494" spans="3:4" x14ac:dyDescent="0.2">
      <c r="C494" s="13"/>
      <c r="D494" s="13"/>
    </row>
    <row r="495" spans="3:4" x14ac:dyDescent="0.2">
      <c r="C495" s="13"/>
      <c r="D495" s="13"/>
    </row>
    <row r="496" spans="3:4" x14ac:dyDescent="0.2">
      <c r="C496" s="13"/>
      <c r="D496" s="13"/>
    </row>
    <row r="497" spans="3:4" x14ac:dyDescent="0.2">
      <c r="C497" s="13"/>
      <c r="D497" s="13"/>
    </row>
    <row r="498" spans="3:4" x14ac:dyDescent="0.2">
      <c r="C498" s="13"/>
      <c r="D498" s="13"/>
    </row>
    <row r="499" spans="3:4" x14ac:dyDescent="0.2">
      <c r="C499" s="13"/>
      <c r="D499" s="13"/>
    </row>
    <row r="500" spans="3:4" x14ac:dyDescent="0.2">
      <c r="C500" s="13"/>
      <c r="D500" s="13"/>
    </row>
    <row r="501" spans="3:4" x14ac:dyDescent="0.2">
      <c r="C501" s="13"/>
      <c r="D501" s="13"/>
    </row>
    <row r="502" spans="3:4" x14ac:dyDescent="0.2">
      <c r="C502" s="13"/>
      <c r="D502" s="13"/>
    </row>
    <row r="503" spans="3:4" x14ac:dyDescent="0.2">
      <c r="C503" s="13"/>
      <c r="D503" s="13"/>
    </row>
    <row r="504" spans="3:4" x14ac:dyDescent="0.2">
      <c r="C504" s="13"/>
      <c r="D504" s="13"/>
    </row>
    <row r="505" spans="3:4" x14ac:dyDescent="0.2">
      <c r="C505" s="13"/>
      <c r="D505" s="13"/>
    </row>
    <row r="506" spans="3:4" x14ac:dyDescent="0.2">
      <c r="C506" s="13"/>
      <c r="D506" s="13"/>
    </row>
    <row r="507" spans="3:4" x14ac:dyDescent="0.2">
      <c r="C507" s="13"/>
      <c r="D507" s="13"/>
    </row>
    <row r="508" spans="3:4" x14ac:dyDescent="0.2">
      <c r="C508" s="13"/>
      <c r="D508" s="13"/>
    </row>
    <row r="509" spans="3:4" x14ac:dyDescent="0.2">
      <c r="C509" s="13"/>
      <c r="D509" s="13"/>
    </row>
    <row r="510" spans="3:4" x14ac:dyDescent="0.2">
      <c r="C510" s="13"/>
      <c r="D510" s="13"/>
    </row>
    <row r="511" spans="3:4" x14ac:dyDescent="0.2">
      <c r="C511" s="13"/>
      <c r="D511" s="13"/>
    </row>
    <row r="512" spans="3:4" x14ac:dyDescent="0.2">
      <c r="C512" s="13"/>
      <c r="D512" s="13"/>
    </row>
    <row r="513" spans="3:4" x14ac:dyDescent="0.2">
      <c r="C513" s="13"/>
      <c r="D513" s="13"/>
    </row>
    <row r="514" spans="3:4" x14ac:dyDescent="0.2">
      <c r="C514" s="13"/>
      <c r="D514" s="13"/>
    </row>
    <row r="515" spans="3:4" x14ac:dyDescent="0.2">
      <c r="C515" s="13"/>
      <c r="D515" s="13"/>
    </row>
    <row r="516" spans="3:4" x14ac:dyDescent="0.2">
      <c r="C516" s="13"/>
      <c r="D516" s="13"/>
    </row>
    <row r="517" spans="3:4" x14ac:dyDescent="0.2">
      <c r="C517" s="13"/>
      <c r="D517" s="13"/>
    </row>
    <row r="518" spans="3:4" x14ac:dyDescent="0.2">
      <c r="C518" s="13"/>
      <c r="D518" s="13"/>
    </row>
    <row r="519" spans="3:4" x14ac:dyDescent="0.2">
      <c r="C519" s="13"/>
      <c r="D519" s="13"/>
    </row>
    <row r="520" spans="3:4" x14ac:dyDescent="0.2">
      <c r="C520" s="13"/>
      <c r="D520" s="13"/>
    </row>
    <row r="521" spans="3:4" x14ac:dyDescent="0.2">
      <c r="C521" s="13"/>
      <c r="D521" s="13"/>
    </row>
    <row r="522" spans="3:4" x14ac:dyDescent="0.2">
      <c r="C522" s="13"/>
      <c r="D522" s="13"/>
    </row>
    <row r="523" spans="3:4" x14ac:dyDescent="0.2">
      <c r="C523" s="13"/>
      <c r="D523" s="13"/>
    </row>
    <row r="524" spans="3:4" x14ac:dyDescent="0.2">
      <c r="C524" s="13"/>
      <c r="D524" s="13"/>
    </row>
    <row r="525" spans="3:4" x14ac:dyDescent="0.2">
      <c r="C525" s="13"/>
      <c r="D525" s="13"/>
    </row>
    <row r="526" spans="3:4" x14ac:dyDescent="0.2">
      <c r="C526" s="13"/>
      <c r="D526" s="13"/>
    </row>
    <row r="527" spans="3:4" x14ac:dyDescent="0.2">
      <c r="C527" s="13"/>
      <c r="D527" s="13"/>
    </row>
    <row r="528" spans="3:4" x14ac:dyDescent="0.2">
      <c r="C528" s="13"/>
      <c r="D528" s="13"/>
    </row>
    <row r="529" spans="3:4" x14ac:dyDescent="0.2">
      <c r="C529" s="13"/>
      <c r="D529" s="13"/>
    </row>
    <row r="530" spans="3:4" x14ac:dyDescent="0.2">
      <c r="C530" s="13"/>
      <c r="D530" s="13"/>
    </row>
    <row r="531" spans="3:4" x14ac:dyDescent="0.2">
      <c r="C531" s="13"/>
      <c r="D531" s="13"/>
    </row>
    <row r="532" spans="3:4" x14ac:dyDescent="0.2">
      <c r="C532" s="13"/>
      <c r="D532" s="13"/>
    </row>
    <row r="533" spans="3:4" x14ac:dyDescent="0.2">
      <c r="C533" s="13"/>
      <c r="D533" s="13"/>
    </row>
    <row r="534" spans="3:4" x14ac:dyDescent="0.2">
      <c r="C534" s="13"/>
      <c r="D534" s="1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5"/>
  <sheetViews>
    <sheetView workbookViewId="0">
      <selection activeCell="A17" sqref="A17:D17"/>
    </sheetView>
  </sheetViews>
  <sheetFormatPr defaultRowHeight="12.75" x14ac:dyDescent="0.2"/>
  <cols>
    <col min="1" max="1" width="19.7109375" style="13" customWidth="1"/>
    <col min="2" max="2" width="4.42578125" style="9" customWidth="1"/>
    <col min="3" max="3" width="12.7109375" style="13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3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5" t="s">
        <v>44</v>
      </c>
      <c r="I1" s="36" t="s">
        <v>45</v>
      </c>
      <c r="J1" s="37" t="s">
        <v>46</v>
      </c>
    </row>
    <row r="2" spans="1:16" x14ac:dyDescent="0.2">
      <c r="I2" s="38" t="s">
        <v>47</v>
      </c>
      <c r="J2" s="39" t="s">
        <v>48</v>
      </c>
    </row>
    <row r="3" spans="1:16" x14ac:dyDescent="0.2">
      <c r="A3" s="40" t="s">
        <v>49</v>
      </c>
      <c r="I3" s="38" t="s">
        <v>50</v>
      </c>
      <c r="J3" s="39" t="s">
        <v>51</v>
      </c>
    </row>
    <row r="4" spans="1:16" x14ac:dyDescent="0.2">
      <c r="I4" s="38" t="s">
        <v>52</v>
      </c>
      <c r="J4" s="39" t="s">
        <v>51</v>
      </c>
    </row>
    <row r="5" spans="1:16" ht="13.5" thickBot="1" x14ac:dyDescent="0.25">
      <c r="I5" s="41" t="s">
        <v>53</v>
      </c>
      <c r="J5" s="42" t="s">
        <v>54</v>
      </c>
    </row>
    <row r="10" spans="1:16" ht="13.5" thickBot="1" x14ac:dyDescent="0.25"/>
    <row r="11" spans="1:16" ht="12.75" customHeight="1" thickBot="1" x14ac:dyDescent="0.25">
      <c r="A11" s="13" t="str">
        <f t="shared" ref="A11:A17" si="0">P11</f>
        <v>BAVM 172 </v>
      </c>
      <c r="B11" s="17" t="str">
        <f t="shared" ref="B11:B17" si="1">IF(H11=INT(H11),"I","II")</f>
        <v>I</v>
      </c>
      <c r="C11" s="13">
        <f t="shared" ref="C11:C17" si="2">1*G11</f>
        <v>52877.500500000002</v>
      </c>
      <c r="D11" s="9" t="str">
        <f t="shared" ref="D11:D17" si="3">VLOOKUP(F11,I$1:J$5,2,FALSE)</f>
        <v>vis</v>
      </c>
      <c r="E11" s="43">
        <f>VLOOKUP(C11,Active!C$21:E$973,3,FALSE)</f>
        <v>8150.046041352336</v>
      </c>
      <c r="F11" s="17" t="s">
        <v>53</v>
      </c>
      <c r="G11" s="9" t="str">
        <f t="shared" ref="G11:G17" si="4">MID(I11,3,LEN(I11)-3)</f>
        <v>52877.5005</v>
      </c>
      <c r="H11" s="13">
        <f t="shared" ref="H11:H17" si="5">1*K11</f>
        <v>8150</v>
      </c>
      <c r="I11" s="44" t="s">
        <v>55</v>
      </c>
      <c r="J11" s="45" t="s">
        <v>56</v>
      </c>
      <c r="K11" s="44">
        <v>8150</v>
      </c>
      <c r="L11" s="44" t="s">
        <v>57</v>
      </c>
      <c r="M11" s="45" t="s">
        <v>58</v>
      </c>
      <c r="N11" s="45" t="s">
        <v>59</v>
      </c>
      <c r="O11" s="46" t="s">
        <v>60</v>
      </c>
      <c r="P11" s="47" t="s">
        <v>61</v>
      </c>
    </row>
    <row r="12" spans="1:16" ht="12.75" customHeight="1" thickBot="1" x14ac:dyDescent="0.25">
      <c r="A12" s="13" t="str">
        <f t="shared" si="0"/>
        <v>BAVM 173 </v>
      </c>
      <c r="B12" s="17" t="str">
        <f t="shared" si="1"/>
        <v>I</v>
      </c>
      <c r="C12" s="13">
        <f t="shared" si="2"/>
        <v>53227.441800000001</v>
      </c>
      <c r="D12" s="9" t="str">
        <f t="shared" si="3"/>
        <v>vis</v>
      </c>
      <c r="E12" s="43">
        <f>VLOOKUP(C12,Active!C$21:E$973,3,FALSE)</f>
        <v>8311.0430005297694</v>
      </c>
      <c r="F12" s="17" t="s">
        <v>53</v>
      </c>
      <c r="G12" s="9" t="str">
        <f t="shared" si="4"/>
        <v>53227.4418</v>
      </c>
      <c r="H12" s="13">
        <f t="shared" si="5"/>
        <v>8311</v>
      </c>
      <c r="I12" s="44" t="s">
        <v>62</v>
      </c>
      <c r="J12" s="45" t="s">
        <v>63</v>
      </c>
      <c r="K12" s="44">
        <v>8311</v>
      </c>
      <c r="L12" s="44" t="s">
        <v>64</v>
      </c>
      <c r="M12" s="45" t="s">
        <v>58</v>
      </c>
      <c r="N12" s="45" t="s">
        <v>65</v>
      </c>
      <c r="O12" s="46" t="s">
        <v>60</v>
      </c>
      <c r="P12" s="47" t="s">
        <v>66</v>
      </c>
    </row>
    <row r="13" spans="1:16" ht="12.75" customHeight="1" thickBot="1" x14ac:dyDescent="0.25">
      <c r="A13" s="13" t="str">
        <f t="shared" si="0"/>
        <v>BAVM 178 </v>
      </c>
      <c r="B13" s="17" t="str">
        <f t="shared" si="1"/>
        <v>I</v>
      </c>
      <c r="C13" s="13">
        <f t="shared" si="2"/>
        <v>53516.527699999999</v>
      </c>
      <c r="D13" s="9" t="str">
        <f t="shared" si="3"/>
        <v>vis</v>
      </c>
      <c r="E13" s="43">
        <f>VLOOKUP(C13,Active!C$21:E$973,3,FALSE)</f>
        <v>8444.0423088168209</v>
      </c>
      <c r="F13" s="17" t="s">
        <v>53</v>
      </c>
      <c r="G13" s="9" t="str">
        <f t="shared" si="4"/>
        <v>53516.5277</v>
      </c>
      <c r="H13" s="13">
        <f t="shared" si="5"/>
        <v>8444</v>
      </c>
      <c r="I13" s="44" t="s">
        <v>67</v>
      </c>
      <c r="J13" s="45" t="s">
        <v>68</v>
      </c>
      <c r="K13" s="44" t="s">
        <v>69</v>
      </c>
      <c r="L13" s="44" t="s">
        <v>70</v>
      </c>
      <c r="M13" s="45" t="s">
        <v>71</v>
      </c>
      <c r="N13" s="45" t="s">
        <v>65</v>
      </c>
      <c r="O13" s="46" t="s">
        <v>72</v>
      </c>
      <c r="P13" s="47" t="s">
        <v>73</v>
      </c>
    </row>
    <row r="14" spans="1:16" ht="12.75" customHeight="1" thickBot="1" x14ac:dyDescent="0.25">
      <c r="A14" s="13" t="str">
        <f t="shared" si="0"/>
        <v>BAVM 178 </v>
      </c>
      <c r="B14" s="17" t="str">
        <f t="shared" si="1"/>
        <v>I</v>
      </c>
      <c r="C14" s="13">
        <f t="shared" si="2"/>
        <v>53614.341500000002</v>
      </c>
      <c r="D14" s="9" t="str">
        <f t="shared" si="3"/>
        <v>vis</v>
      </c>
      <c r="E14" s="43">
        <f>VLOOKUP(C14,Active!C$21:E$973,3,FALSE)</f>
        <v>8489.0433543224244</v>
      </c>
      <c r="F14" s="17" t="s">
        <v>53</v>
      </c>
      <c r="G14" s="9" t="str">
        <f t="shared" si="4"/>
        <v>53614.3415</v>
      </c>
      <c r="H14" s="13">
        <f t="shared" si="5"/>
        <v>8489</v>
      </c>
      <c r="I14" s="44" t="s">
        <v>74</v>
      </c>
      <c r="J14" s="45" t="s">
        <v>75</v>
      </c>
      <c r="K14" s="44" t="s">
        <v>76</v>
      </c>
      <c r="L14" s="44" t="s">
        <v>77</v>
      </c>
      <c r="M14" s="45" t="s">
        <v>71</v>
      </c>
      <c r="N14" s="45" t="s">
        <v>65</v>
      </c>
      <c r="O14" s="46" t="s">
        <v>72</v>
      </c>
      <c r="P14" s="47" t="s">
        <v>73</v>
      </c>
    </row>
    <row r="15" spans="1:16" ht="12.75" customHeight="1" thickBot="1" x14ac:dyDescent="0.25">
      <c r="A15" s="13" t="str">
        <f t="shared" si="0"/>
        <v>BAVM 183 </v>
      </c>
      <c r="B15" s="17" t="str">
        <f t="shared" si="1"/>
        <v>I</v>
      </c>
      <c r="C15" s="13">
        <f t="shared" si="2"/>
        <v>53990.372000000003</v>
      </c>
      <c r="D15" s="9" t="str">
        <f t="shared" si="3"/>
        <v>vis</v>
      </c>
      <c r="E15" s="43">
        <f>VLOOKUP(C15,Active!C$21:E$973,3,FALSE)</f>
        <v>8662.0431318793198</v>
      </c>
      <c r="F15" s="17" t="s">
        <v>53</v>
      </c>
      <c r="G15" s="9" t="str">
        <f t="shared" si="4"/>
        <v>53990.3720</v>
      </c>
      <c r="H15" s="13">
        <f t="shared" si="5"/>
        <v>8662</v>
      </c>
      <c r="I15" s="44" t="s">
        <v>78</v>
      </c>
      <c r="J15" s="45" t="s">
        <v>79</v>
      </c>
      <c r="K15" s="44" t="s">
        <v>80</v>
      </c>
      <c r="L15" s="44" t="s">
        <v>81</v>
      </c>
      <c r="M15" s="45" t="s">
        <v>71</v>
      </c>
      <c r="N15" s="45" t="s">
        <v>65</v>
      </c>
      <c r="O15" s="46" t="s">
        <v>82</v>
      </c>
      <c r="P15" s="47" t="s">
        <v>83</v>
      </c>
    </row>
    <row r="16" spans="1:16" ht="12.75" customHeight="1" thickBot="1" x14ac:dyDescent="0.25">
      <c r="A16" s="13" t="str">
        <f t="shared" si="0"/>
        <v>BAVM 220 </v>
      </c>
      <c r="B16" s="17" t="str">
        <f t="shared" si="1"/>
        <v>I</v>
      </c>
      <c r="C16" s="13">
        <f t="shared" si="2"/>
        <v>55707.4948</v>
      </c>
      <c r="D16" s="9" t="str">
        <f t="shared" si="3"/>
        <v>vis</v>
      </c>
      <c r="E16" s="43">
        <f>VLOOKUP(C16,Active!C$21:E$973,3,FALSE)</f>
        <v>9452.0371946956875</v>
      </c>
      <c r="F16" s="17" t="s">
        <v>53</v>
      </c>
      <c r="G16" s="9" t="str">
        <f t="shared" si="4"/>
        <v>55707.4948</v>
      </c>
      <c r="H16" s="13">
        <f t="shared" si="5"/>
        <v>9452</v>
      </c>
      <c r="I16" s="44" t="s">
        <v>89</v>
      </c>
      <c r="J16" s="45" t="s">
        <v>90</v>
      </c>
      <c r="K16" s="44" t="s">
        <v>91</v>
      </c>
      <c r="L16" s="44" t="s">
        <v>92</v>
      </c>
      <c r="M16" s="45" t="s">
        <v>71</v>
      </c>
      <c r="N16" s="45" t="s">
        <v>65</v>
      </c>
      <c r="O16" s="46" t="s">
        <v>72</v>
      </c>
      <c r="P16" s="47" t="s">
        <v>93</v>
      </c>
    </row>
    <row r="17" spans="1:16" ht="12.75" customHeight="1" thickBot="1" x14ac:dyDescent="0.25">
      <c r="A17" s="13" t="str">
        <f t="shared" si="0"/>
        <v>BAVM 212 </v>
      </c>
      <c r="B17" s="17" t="str">
        <f t="shared" si="1"/>
        <v>I</v>
      </c>
      <c r="C17" s="13">
        <f t="shared" si="2"/>
        <v>55068.464999999997</v>
      </c>
      <c r="D17" s="9" t="str">
        <f t="shared" si="3"/>
        <v>vis</v>
      </c>
      <c r="E17" s="43">
        <f>VLOOKUP(C17,Active!C$21:E$973,3,FALSE)</f>
        <v>9158.0397310531716</v>
      </c>
      <c r="F17" s="17" t="s">
        <v>53</v>
      </c>
      <c r="G17" s="9" t="str">
        <f t="shared" si="4"/>
        <v>55068.4650</v>
      </c>
      <c r="H17" s="13">
        <f t="shared" si="5"/>
        <v>9158</v>
      </c>
      <c r="I17" s="44" t="s">
        <v>84</v>
      </c>
      <c r="J17" s="45" t="s">
        <v>85</v>
      </c>
      <c r="K17" s="44" t="s">
        <v>86</v>
      </c>
      <c r="L17" s="44" t="s">
        <v>87</v>
      </c>
      <c r="M17" s="45" t="s">
        <v>71</v>
      </c>
      <c r="N17" s="45" t="s">
        <v>65</v>
      </c>
      <c r="O17" s="46" t="s">
        <v>72</v>
      </c>
      <c r="P17" s="47" t="s">
        <v>88</v>
      </c>
    </row>
    <row r="18" spans="1:16" x14ac:dyDescent="0.2">
      <c r="B18" s="17"/>
      <c r="F18" s="17"/>
    </row>
    <row r="19" spans="1:16" x14ac:dyDescent="0.2">
      <c r="B19" s="17"/>
      <c r="F19" s="17"/>
    </row>
    <row r="20" spans="1:16" x14ac:dyDescent="0.2">
      <c r="B20" s="17"/>
      <c r="F20" s="17"/>
    </row>
    <row r="21" spans="1:16" x14ac:dyDescent="0.2">
      <c r="B21" s="17"/>
      <c r="F21" s="17"/>
    </row>
    <row r="22" spans="1:16" x14ac:dyDescent="0.2">
      <c r="B22" s="17"/>
      <c r="F22" s="17"/>
    </row>
    <row r="23" spans="1:16" x14ac:dyDescent="0.2">
      <c r="B23" s="17"/>
      <c r="F23" s="17"/>
    </row>
    <row r="24" spans="1:16" x14ac:dyDescent="0.2">
      <c r="B24" s="17"/>
      <c r="F24" s="17"/>
    </row>
    <row r="25" spans="1:16" x14ac:dyDescent="0.2">
      <c r="B25" s="17"/>
      <c r="F25" s="17"/>
    </row>
    <row r="26" spans="1:16" x14ac:dyDescent="0.2">
      <c r="B26" s="17"/>
      <c r="F26" s="17"/>
    </row>
    <row r="27" spans="1:16" x14ac:dyDescent="0.2">
      <c r="B27" s="17"/>
      <c r="F27" s="17"/>
    </row>
    <row r="28" spans="1:16" x14ac:dyDescent="0.2">
      <c r="B28" s="17"/>
      <c r="F28" s="17"/>
    </row>
    <row r="29" spans="1:16" x14ac:dyDescent="0.2">
      <c r="B29" s="17"/>
      <c r="F29" s="17"/>
    </row>
    <row r="30" spans="1:16" x14ac:dyDescent="0.2">
      <c r="B30" s="17"/>
      <c r="F30" s="17"/>
    </row>
    <row r="31" spans="1:16" x14ac:dyDescent="0.2">
      <c r="B31" s="17"/>
      <c r="F31" s="17"/>
    </row>
    <row r="32" spans="1:16" x14ac:dyDescent="0.2">
      <c r="B32" s="17"/>
      <c r="F32" s="17"/>
    </row>
    <row r="33" spans="2:6" x14ac:dyDescent="0.2">
      <c r="B33" s="17"/>
      <c r="F33" s="17"/>
    </row>
    <row r="34" spans="2:6" x14ac:dyDescent="0.2">
      <c r="B34" s="17"/>
      <c r="F34" s="17"/>
    </row>
    <row r="35" spans="2:6" x14ac:dyDescent="0.2">
      <c r="B35" s="17"/>
      <c r="F35" s="17"/>
    </row>
    <row r="36" spans="2:6" x14ac:dyDescent="0.2">
      <c r="B36" s="17"/>
      <c r="F36" s="17"/>
    </row>
    <row r="37" spans="2:6" x14ac:dyDescent="0.2">
      <c r="B37" s="17"/>
      <c r="F37" s="17"/>
    </row>
    <row r="38" spans="2:6" x14ac:dyDescent="0.2">
      <c r="B38" s="17"/>
      <c r="F38" s="17"/>
    </row>
    <row r="39" spans="2:6" x14ac:dyDescent="0.2">
      <c r="B39" s="17"/>
      <c r="F39" s="17"/>
    </row>
    <row r="40" spans="2:6" x14ac:dyDescent="0.2">
      <c r="B40" s="17"/>
      <c r="F40" s="17"/>
    </row>
    <row r="41" spans="2:6" x14ac:dyDescent="0.2">
      <c r="B41" s="17"/>
      <c r="F41" s="17"/>
    </row>
    <row r="42" spans="2:6" x14ac:dyDescent="0.2">
      <c r="B42" s="17"/>
      <c r="F42" s="17"/>
    </row>
    <row r="43" spans="2:6" x14ac:dyDescent="0.2">
      <c r="B43" s="17"/>
      <c r="F43" s="17"/>
    </row>
    <row r="44" spans="2:6" x14ac:dyDescent="0.2">
      <c r="B44" s="17"/>
      <c r="F44" s="17"/>
    </row>
    <row r="45" spans="2:6" x14ac:dyDescent="0.2">
      <c r="B45" s="17"/>
      <c r="F45" s="17"/>
    </row>
    <row r="46" spans="2:6" x14ac:dyDescent="0.2">
      <c r="B46" s="17"/>
      <c r="F46" s="17"/>
    </row>
    <row r="47" spans="2:6" x14ac:dyDescent="0.2">
      <c r="B47" s="17"/>
      <c r="F47" s="17"/>
    </row>
    <row r="48" spans="2: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</sheetData>
  <phoneticPr fontId="7" type="noConversion"/>
  <hyperlinks>
    <hyperlink ref="P11" r:id="rId1" display="http://www.bav-astro.de/sfs/BAVM_link.php?BAVMnr=172"/>
    <hyperlink ref="P12" r:id="rId2" display="http://www.bav-astro.de/sfs/BAVM_link.php?BAVMnr=173"/>
    <hyperlink ref="P13" r:id="rId3" display="http://www.bav-astro.de/sfs/BAVM_link.php?BAVMnr=178"/>
    <hyperlink ref="P14" r:id="rId4" display="http://www.bav-astro.de/sfs/BAVM_link.php?BAVMnr=178"/>
    <hyperlink ref="P15" r:id="rId5" display="http://www.bav-astro.de/sfs/BAVM_link.php?BAVMnr=183"/>
    <hyperlink ref="P17" r:id="rId6" display="http://www.bav-astro.de/sfs/BAVM_link.php?BAVMnr=212"/>
    <hyperlink ref="P16" r:id="rId7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2024-02-02T03:34:21Z</dcterms:modified>
</cp:coreProperties>
</file>