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765779-8C54-4271-8B33-26456E366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6" i="3" l="1"/>
  <c r="F46" i="3"/>
  <c r="G46" i="3"/>
  <c r="K46" i="3"/>
  <c r="Q46" i="3"/>
  <c r="E46" i="1"/>
  <c r="F46" i="1"/>
  <c r="G46" i="1"/>
  <c r="K46" i="1"/>
  <c r="Q46" i="1"/>
  <c r="C9" i="3"/>
  <c r="D9" i="3"/>
  <c r="F16" i="3"/>
  <c r="F17" i="3" s="1"/>
  <c r="C17" i="3"/>
  <c r="E21" i="3"/>
  <c r="F21" i="3"/>
  <c r="G21" i="3"/>
  <c r="I21" i="3"/>
  <c r="Q21" i="3"/>
  <c r="E22" i="3"/>
  <c r="F22" i="3"/>
  <c r="G22" i="3"/>
  <c r="H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E30" i="3"/>
  <c r="F30" i="3"/>
  <c r="G30" i="3"/>
  <c r="I30" i="3"/>
  <c r="Q30" i="3"/>
  <c r="E31" i="3"/>
  <c r="F31" i="3"/>
  <c r="G31" i="3"/>
  <c r="I31" i="3"/>
  <c r="Q31" i="3"/>
  <c r="E32" i="3"/>
  <c r="F32" i="3"/>
  <c r="G32" i="3"/>
  <c r="I32" i="3"/>
  <c r="Q32" i="3"/>
  <c r="E33" i="3"/>
  <c r="F33" i="3"/>
  <c r="G33" i="3"/>
  <c r="I33" i="3"/>
  <c r="Q33" i="3"/>
  <c r="E34" i="3"/>
  <c r="F34" i="3"/>
  <c r="G34" i="3"/>
  <c r="I34" i="3"/>
  <c r="Q34" i="3"/>
  <c r="E35" i="3"/>
  <c r="F35" i="3"/>
  <c r="G35" i="3"/>
  <c r="K35" i="3"/>
  <c r="Q35" i="3"/>
  <c r="E36" i="3"/>
  <c r="F36" i="3"/>
  <c r="G36" i="3"/>
  <c r="I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J41" i="3"/>
  <c r="Q41" i="3"/>
  <c r="E42" i="3"/>
  <c r="F42" i="3"/>
  <c r="G42" i="3"/>
  <c r="K42" i="3"/>
  <c r="Q42" i="3"/>
  <c r="E43" i="3"/>
  <c r="F43" i="3"/>
  <c r="G43" i="3"/>
  <c r="K43" i="3"/>
  <c r="Q43" i="3"/>
  <c r="E44" i="3"/>
  <c r="F44" i="3"/>
  <c r="G44" i="3"/>
  <c r="K44" i="3"/>
  <c r="Q44" i="3"/>
  <c r="E45" i="3"/>
  <c r="F45" i="3"/>
  <c r="G45" i="3"/>
  <c r="K45" i="3"/>
  <c r="Q45" i="3"/>
  <c r="E45" i="1"/>
  <c r="F45" i="1"/>
  <c r="G45" i="1"/>
  <c r="K45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K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J41" i="1"/>
  <c r="E42" i="1"/>
  <c r="F42" i="1"/>
  <c r="G42" i="1"/>
  <c r="K42" i="1"/>
  <c r="E43" i="1"/>
  <c r="F43" i="1"/>
  <c r="G43" i="1"/>
  <c r="K43" i="1"/>
  <c r="E44" i="1"/>
  <c r="F44" i="1"/>
  <c r="G44" i="1"/>
  <c r="K44" i="1"/>
  <c r="Q45" i="1"/>
  <c r="Q44" i="1"/>
  <c r="Q43" i="1"/>
  <c r="Q42" i="1"/>
  <c r="E21" i="1"/>
  <c r="F21" i="1"/>
  <c r="G21" i="1"/>
  <c r="I21" i="1"/>
  <c r="E23" i="1"/>
  <c r="F23" i="1"/>
  <c r="G23" i="1"/>
  <c r="I23" i="1"/>
  <c r="D9" i="1"/>
  <c r="C9" i="1"/>
  <c r="E22" i="1"/>
  <c r="F22" i="1"/>
  <c r="G22" i="1"/>
  <c r="H22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1" i="2"/>
  <c r="B11" i="2"/>
  <c r="D11" i="2"/>
  <c r="A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35" i="1"/>
  <c r="F16" i="1"/>
  <c r="F17" i="1" s="1"/>
  <c r="C17" i="1"/>
  <c r="Q22" i="1"/>
  <c r="C12" i="3"/>
  <c r="C11" i="3"/>
  <c r="C12" i="1"/>
  <c r="C11" i="1"/>
  <c r="O29" i="1" l="1"/>
  <c r="O44" i="1"/>
  <c r="O31" i="1"/>
  <c r="O38" i="1"/>
  <c r="O32" i="1"/>
  <c r="O27" i="1"/>
  <c r="O46" i="1"/>
  <c r="O40" i="1"/>
  <c r="O43" i="1"/>
  <c r="O45" i="1"/>
  <c r="O21" i="1"/>
  <c r="O25" i="1"/>
  <c r="O42" i="1"/>
  <c r="O23" i="1"/>
  <c r="O22" i="1"/>
  <c r="O26" i="1"/>
  <c r="O39" i="1"/>
  <c r="O36" i="1"/>
  <c r="O24" i="1"/>
  <c r="O41" i="1"/>
  <c r="O35" i="1"/>
  <c r="C15" i="1"/>
  <c r="F18" i="1" s="1"/>
  <c r="O34" i="1"/>
  <c r="O33" i="1"/>
  <c r="O37" i="1"/>
  <c r="O30" i="1"/>
  <c r="O28" i="1"/>
  <c r="O41" i="3"/>
  <c r="O29" i="3"/>
  <c r="O37" i="3"/>
  <c r="O45" i="3"/>
  <c r="O32" i="3"/>
  <c r="O46" i="3"/>
  <c r="O40" i="3"/>
  <c r="O42" i="3"/>
  <c r="O36" i="3"/>
  <c r="O25" i="3"/>
  <c r="O34" i="3"/>
  <c r="O27" i="3"/>
  <c r="O22" i="3"/>
  <c r="O44" i="3"/>
  <c r="O39" i="3"/>
  <c r="O26" i="3"/>
  <c r="C15" i="3"/>
  <c r="O33" i="3"/>
  <c r="O38" i="3"/>
  <c r="O35" i="3"/>
  <c r="O31" i="3"/>
  <c r="O23" i="3"/>
  <c r="O24" i="3"/>
  <c r="O43" i="3"/>
  <c r="O30" i="3"/>
  <c r="O21" i="3"/>
  <c r="O28" i="3"/>
  <c r="C16" i="3"/>
  <c r="D18" i="3" s="1"/>
  <c r="C16" i="1"/>
  <c r="D18" i="1" s="1"/>
  <c r="C18" i="1" l="1"/>
  <c r="F19" i="1"/>
  <c r="C18" i="3"/>
  <c r="F18" i="3"/>
  <c r="F19" i="3" s="1"/>
</calcChain>
</file>

<file path=xl/sharedStrings.xml><?xml version="1.0" encoding="utf-8"?>
<sst xmlns="http://schemas.openxmlformats.org/spreadsheetml/2006/main" count="402" uniqueCount="124">
  <si>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</si>
  <si>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</si>
  <si>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</si>
  <si>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</si>
  <si>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</si>
  <si>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</si>
  <si>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</si>
  <si>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</si>
  <si>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</si>
  <si>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</si>
  <si>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</si>
  <si>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</si>
  <si>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</si>
  <si>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</si>
  <si>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</si>
  <si>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</si>
  <si>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</si>
  <si>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</si>
  <si>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</si>
  <si>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</si>
  <si>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</si>
  <si>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</si>
  <si>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</si>
  <si>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</si>
  <si>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</si>
  <si>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</si>
  <si>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</si>
  <si>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</si>
  <si>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</si>
  <si>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</si>
  <si>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</si>
  <si>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</si>
  <si>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</si>
  <si>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</si>
  <si>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</si>
  <si>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</si>
  <si>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</si>
  <si>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</si>
  <si>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KO Del / GSC 1634-2427</t>
  </si>
  <si>
    <t>EA</t>
  </si>
  <si>
    <t>VSX</t>
  </si>
  <si>
    <t>not avail.</t>
  </si>
  <si>
    <t>IBVS 6033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</si>
  <si>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</si>
  <si>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</si>
  <si>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</si>
  <si>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</si>
  <si>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</si>
  <si>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</si>
  <si>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</si>
  <si>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</si>
  <si>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</si>
  <si>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</si>
  <si>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</si>
  <si>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</si>
  <si>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2440499.36 </t>
  </si>
  <si>
    <t> 04.10.1969 20:38 </t>
  </si>
  <si>
    <t> 0.03 </t>
  </si>
  <si>
    <t>P </t>
  </si>
  <si>
    <t> G.Richter </t>
  </si>
  <si>
    <t> MVS 5.102 </t>
  </si>
  <si>
    <t>2440499.39 </t>
  </si>
  <si>
    <t> 04.10.1969 21:21 </t>
  </si>
  <si>
    <t> 0.06 </t>
  </si>
  <si>
    <t>2455810.4011 </t>
  </si>
  <si>
    <t> 05.09.2011 21:37 </t>
  </si>
  <si>
    <t> -0.0011 </t>
  </si>
  <si>
    <t>C </t>
  </si>
  <si>
    <t> K.Kasai </t>
  </si>
  <si>
    <t>VSB 53 </t>
  </si>
  <si>
    <t>2455815.3619 </t>
  </si>
  <si>
    <t> 10.09.2011 20:41 </t>
  </si>
  <si>
    <t> 0.0013 </t>
  </si>
  <si>
    <t>2455820.3186 </t>
  </si>
  <si>
    <t> 15.09.2011 19:38 </t>
  </si>
  <si>
    <t> -0.0004 </t>
  </si>
  <si>
    <t>Rc</t>
  </si>
  <si>
    <t>2455820.3188 </t>
  </si>
  <si>
    <t> 15.09.2011 19:39 </t>
  </si>
  <si>
    <t> -0.0002 </t>
  </si>
  <si>
    <t>2455827.3193 </t>
  </si>
  <si>
    <t> 22.09.2011 19:39 </t>
  </si>
  <si>
    <t> 0.0001 </t>
  </si>
  <si>
    <t>2455831.4024 </t>
  </si>
  <si>
    <t> 26.09.2011 21:39 </t>
  </si>
  <si>
    <t>2455831.4031 </t>
  </si>
  <si>
    <t> 26.09.2011 21:40 </t>
  </si>
  <si>
    <t> 0.0005 </t>
  </si>
  <si>
    <t>2455831.4041 </t>
  </si>
  <si>
    <t> 26.09.2011 21:41 </t>
  </si>
  <si>
    <t> 0.0015 </t>
  </si>
  <si>
    <t>Ic</t>
  </si>
  <si>
    <t>2455834.3193 </t>
  </si>
  <si>
    <t> 29.09.2011 19:39 </t>
  </si>
  <si>
    <t> -0.0000 </t>
  </si>
  <si>
    <t>2455834.3195 </t>
  </si>
  <si>
    <t> 29.09.2011 19:40 </t>
  </si>
  <si>
    <t> 0.0002 </t>
  </si>
  <si>
    <t>2455834.3197 </t>
  </si>
  <si>
    <t> 0.0004 </t>
  </si>
  <si>
    <t>o</t>
  </si>
  <si>
    <t> G.Corfini </t>
  </si>
  <si>
    <t>IBVS 6033 </t>
  </si>
  <si>
    <t>2455834.3198 </t>
  </si>
  <si>
    <t>2455838.4030 </t>
  </si>
  <si>
    <t> 03.10.2011 21:40 </t>
  </si>
  <si>
    <t>2455838.4033 </t>
  </si>
  <si>
    <t>2456186.3701 </t>
  </si>
  <si>
    <t> 15.09.2012 20:52 </t>
  </si>
  <si>
    <t> 0.0018 </t>
  </si>
  <si>
    <t>VSB 55 </t>
  </si>
  <si>
    <t>2456186.3705 </t>
  </si>
  <si>
    <t> 15.09.2012 20:53 </t>
  </si>
  <si>
    <t> 0.0022 </t>
  </si>
  <si>
    <t>2457207.5214 </t>
  </si>
  <si>
    <t> 04.07.2015 00:30 </t>
  </si>
  <si>
    <t> 0.0068 </t>
  </si>
  <si>
    <t>-I</t>
  </si>
  <si>
    <t> F.Agerer </t>
  </si>
  <si>
    <t>BAVM 241 (=IBVS 6157) </t>
  </si>
  <si>
    <t>II</t>
  </si>
  <si>
    <t>IBVS 6157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</si>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</sst>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9" fillId="0" borderId="5" xfId="0" applyFont="1" applyBorder="1" applyAlignment="1"/>
    <xf numFmtId="0" fontId="20" fillId="25" borderId="0" xfId="0" applyFont="1" applyFill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36" fillId="0" borderId="0" xfId="43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43" applyFont="1"/>
    <xf numFmtId="0" fontId="21" fillId="0" borderId="0" xfId="43" applyFont="1" applyAlignment="1">
      <alignment horizontal="center"/>
    </xf>
    <xf numFmtId="0" fontId="21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20" fillId="26" borderId="0" xfId="0" applyFont="1" applyFill="1" applyAlignme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48623853211009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97-4150-9350-16A12A3FB9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-1.4999999999417923E-2</c:v>
                </c:pt>
                <c:pt idx="2">
                  <c:v>1.4999999999417923E-2</c:v>
                </c:pt>
                <c:pt idx="3">
                  <c:v>-0.1277540628798306</c:v>
                </c:pt>
                <c:pt idx="4">
                  <c:v>-0.125418182949943</c:v>
                </c:pt>
                <c:pt idx="5">
                  <c:v>-0.12718230302562006</c:v>
                </c:pt>
                <c:pt idx="6">
                  <c:v>-0.12698230302339653</c:v>
                </c:pt>
                <c:pt idx="7">
                  <c:v>-0.12666694312065374</c:v>
                </c:pt>
                <c:pt idx="8">
                  <c:v>-0.12666694312065374</c:v>
                </c:pt>
                <c:pt idx="9">
                  <c:v>-0.12700798318110174</c:v>
                </c:pt>
                <c:pt idx="10">
                  <c:v>-0.12630798317695735</c:v>
                </c:pt>
                <c:pt idx="11">
                  <c:v>-0.1253079831803916</c:v>
                </c:pt>
                <c:pt idx="12">
                  <c:v>-0.12685158321983181</c:v>
                </c:pt>
                <c:pt idx="13">
                  <c:v>-0.12665158322488423</c:v>
                </c:pt>
                <c:pt idx="15">
                  <c:v>-0.12635158322518691</c:v>
                </c:pt>
                <c:pt idx="16">
                  <c:v>-0.12659262328816112</c:v>
                </c:pt>
                <c:pt idx="17">
                  <c:v>-0.1262926232884638</c:v>
                </c:pt>
                <c:pt idx="18">
                  <c:v>-0.12700410834804643</c:v>
                </c:pt>
                <c:pt idx="19">
                  <c:v>-0.12660410835087532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97-4150-9350-16A12A3FB94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0">
                  <c:v>-0.12763848321628757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97-4150-9350-16A12A3FB94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4">
                  <c:v>-0.1264515832226607</c:v>
                </c:pt>
                <c:pt idx="21">
                  <c:v>-0.12541316879651276</c:v>
                </c:pt>
                <c:pt idx="22">
                  <c:v>-0.12782812915247632</c:v>
                </c:pt>
                <c:pt idx="23">
                  <c:v>-0.12583100940537406</c:v>
                </c:pt>
                <c:pt idx="24">
                  <c:v>-0.12649249446985777</c:v>
                </c:pt>
                <c:pt idx="25">
                  <c:v>-0.12655445501877693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97-4150-9350-16A12A3FB94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97-4150-9350-16A12A3FB9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97-4150-9350-16A12A3FB9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97-4150-9350-16A12A3FB94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  <c:spPr>
              <a:ln w="15875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957-4425-9F8C-172AF58B69B6}"/>
              </c:ext>
            </c:extLst>
          </c:dPt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-0.12669055205297047</c:v>
                </c:pt>
                <c:pt idx="1">
                  <c:v>-0.12669055205297047</c:v>
                </c:pt>
                <c:pt idx="2">
                  <c:v>-0.12669055205297047</c:v>
                </c:pt>
                <c:pt idx="3">
                  <c:v>-0.12660523052159212</c:v>
                </c:pt>
                <c:pt idx="4">
                  <c:v>-0.12660520289050983</c:v>
                </c:pt>
                <c:pt idx="5">
                  <c:v>-0.12660517525942755</c:v>
                </c:pt>
                <c:pt idx="6">
                  <c:v>-0.12660517525942755</c:v>
                </c:pt>
                <c:pt idx="7">
                  <c:v>-0.1266051362508408</c:v>
                </c:pt>
                <c:pt idx="8">
                  <c:v>-0.1266051362508408</c:v>
                </c:pt>
                <c:pt idx="9">
                  <c:v>-0.12660511349583187</c:v>
                </c:pt>
                <c:pt idx="10">
                  <c:v>-0.12660511349583187</c:v>
                </c:pt>
                <c:pt idx="11">
                  <c:v>-0.12660511349583187</c:v>
                </c:pt>
                <c:pt idx="12">
                  <c:v>-0.12660509724225405</c:v>
                </c:pt>
                <c:pt idx="13">
                  <c:v>-0.12660509724225405</c:v>
                </c:pt>
                <c:pt idx="14">
                  <c:v>-0.12660509724225405</c:v>
                </c:pt>
                <c:pt idx="15">
                  <c:v>-0.12660509724225405</c:v>
                </c:pt>
                <c:pt idx="16">
                  <c:v>-0.12660507448724509</c:v>
                </c:pt>
                <c:pt idx="17">
                  <c:v>-0.12660507448724509</c:v>
                </c:pt>
                <c:pt idx="18">
                  <c:v>-0.12660313543541185</c:v>
                </c:pt>
                <c:pt idx="19">
                  <c:v>-0.12660313543541185</c:v>
                </c:pt>
                <c:pt idx="20">
                  <c:v>-0.12659744505781906</c:v>
                </c:pt>
                <c:pt idx="21">
                  <c:v>-0.12659531096305204</c:v>
                </c:pt>
                <c:pt idx="22">
                  <c:v>-0.12659517118228286</c:v>
                </c:pt>
                <c:pt idx="23">
                  <c:v>-0.12659507691153152</c:v>
                </c:pt>
                <c:pt idx="24">
                  <c:v>-0.12659313785969828</c:v>
                </c:pt>
                <c:pt idx="25">
                  <c:v>-0.12659287617709547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97-4150-9350-16A12A3FB94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97-4150-9350-16A12A3FB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43448"/>
        <c:axId val="1"/>
      </c:scatterChart>
      <c:valAx>
        <c:axId val="523143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22935779816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143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7247706422018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23853211009174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C-4C5B-A936-4EC94A776C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-1.4999999999417923E-2</c:v>
                </c:pt>
                <c:pt idx="2">
                  <c:v>1.4999999999417923E-2</c:v>
                </c:pt>
                <c:pt idx="3">
                  <c:v>1.9384100000024773</c:v>
                </c:pt>
                <c:pt idx="4">
                  <c:v>1.9414150000084192</c:v>
                </c:pt>
                <c:pt idx="5">
                  <c:v>1.9403200000015204</c:v>
                </c:pt>
                <c:pt idx="6">
                  <c:v>1.9405200000037439</c:v>
                </c:pt>
                <c:pt idx="7">
                  <c:v>1.9417800000082934</c:v>
                </c:pt>
                <c:pt idx="8">
                  <c:v>1.9417800000082934</c:v>
                </c:pt>
                <c:pt idx="9">
                  <c:v>1.9419899999993504</c:v>
                </c:pt>
                <c:pt idx="10">
                  <c:v>1.9426900000034948</c:v>
                </c:pt>
                <c:pt idx="11">
                  <c:v>1.9436900000000605</c:v>
                </c:pt>
                <c:pt idx="12">
                  <c:v>1.9425400000036461</c:v>
                </c:pt>
                <c:pt idx="13">
                  <c:v>1.9427399999985937</c:v>
                </c:pt>
                <c:pt idx="15">
                  <c:v>1.943039999998291</c:v>
                </c:pt>
                <c:pt idx="16">
                  <c:v>1.9433500000013737</c:v>
                </c:pt>
                <c:pt idx="17">
                  <c:v>1.943650000001071</c:v>
                </c:pt>
                <c:pt idx="18">
                  <c:v>1.9898949999987963</c:v>
                </c:pt>
                <c:pt idx="19">
                  <c:v>1.9902949999959674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C-4C5B-A936-4EC94A776C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0">
                  <c:v>2.1270599999988917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C-4C5B-A936-4EC94A776C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4">
                  <c:v>1.9429400000008172</c:v>
                </c:pt>
                <c:pt idx="21">
                  <c:v>2.18096499999956</c:v>
                </c:pt>
                <c:pt idx="22">
                  <c:v>2.1819350000005215</c:v>
                </c:pt>
                <c:pt idx="23">
                  <c:v>2.186215000001539</c:v>
                </c:pt>
                <c:pt idx="24">
                  <c:v>2.2325100000016391</c:v>
                </c:pt>
                <c:pt idx="25">
                  <c:v>2.2387850001396146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C-4C5B-A936-4EC94A776C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C-4C5B-A936-4EC94A776C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C-4C5B-A936-4EC94A776C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1.5E-3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8.9999999999999998E-4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C-4C5B-A936-4EC94A776C5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-0.12669055207772173</c:v>
                </c:pt>
                <c:pt idx="1">
                  <c:v>-0.12669055207772173</c:v>
                </c:pt>
                <c:pt idx="2">
                  <c:v>-0.12669055207772173</c:v>
                </c:pt>
                <c:pt idx="3">
                  <c:v>1.9395588323569815</c:v>
                </c:pt>
                <c:pt idx="4">
                  <c:v>1.9402279800602504</c:v>
                </c:pt>
                <c:pt idx="5">
                  <c:v>1.940897127763519</c:v>
                </c:pt>
                <c:pt idx="6">
                  <c:v>1.940897127763519</c:v>
                </c:pt>
                <c:pt idx="7">
                  <c:v>1.9418418068740162</c:v>
                </c:pt>
                <c:pt idx="8">
                  <c:v>1.9418418068740162</c:v>
                </c:pt>
                <c:pt idx="9">
                  <c:v>1.9423928696884727</c:v>
                </c:pt>
                <c:pt idx="10">
                  <c:v>1.9423928696884727</c:v>
                </c:pt>
                <c:pt idx="11">
                  <c:v>1.9423928696884727</c:v>
                </c:pt>
                <c:pt idx="12">
                  <c:v>1.942786485984513</c:v>
                </c:pt>
                <c:pt idx="13">
                  <c:v>1.942786485984513</c:v>
                </c:pt>
                <c:pt idx="14">
                  <c:v>1.942786485984513</c:v>
                </c:pt>
                <c:pt idx="15">
                  <c:v>1.942786485984513</c:v>
                </c:pt>
                <c:pt idx="16">
                  <c:v>1.9433375487989699</c:v>
                </c:pt>
                <c:pt idx="17">
                  <c:v>1.9433375487989699</c:v>
                </c:pt>
                <c:pt idx="18">
                  <c:v>1.9902959729165945</c:v>
                </c:pt>
                <c:pt idx="19">
                  <c:v>1.9902959729165945</c:v>
                </c:pt>
                <c:pt idx="20">
                  <c:v>2.128101038160354</c:v>
                </c:pt>
                <c:pt idx="21">
                  <c:v>2.1797828578304639</c:v>
                </c:pt>
                <c:pt idx="22">
                  <c:v>2.1831679579764121</c:v>
                </c:pt>
                <c:pt idx="23">
                  <c:v>2.1854509324934464</c:v>
                </c:pt>
                <c:pt idx="24">
                  <c:v>2.2324093566110714</c:v>
                </c:pt>
                <c:pt idx="25">
                  <c:v>2.2387465789773224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C-4C5B-A936-4EC94A776C5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26247</c:v>
                </c:pt>
                <c:pt idx="4">
                  <c:v>26255.5</c:v>
                </c:pt>
                <c:pt idx="5">
                  <c:v>26264</c:v>
                </c:pt>
                <c:pt idx="6">
                  <c:v>26264</c:v>
                </c:pt>
                <c:pt idx="7">
                  <c:v>26276</c:v>
                </c:pt>
                <c:pt idx="8">
                  <c:v>26276</c:v>
                </c:pt>
                <c:pt idx="9">
                  <c:v>26283</c:v>
                </c:pt>
                <c:pt idx="10">
                  <c:v>26283</c:v>
                </c:pt>
                <c:pt idx="11">
                  <c:v>26283</c:v>
                </c:pt>
                <c:pt idx="12">
                  <c:v>26288</c:v>
                </c:pt>
                <c:pt idx="13">
                  <c:v>26288</c:v>
                </c:pt>
                <c:pt idx="14">
                  <c:v>26288</c:v>
                </c:pt>
                <c:pt idx="15">
                  <c:v>26288</c:v>
                </c:pt>
                <c:pt idx="16">
                  <c:v>26295</c:v>
                </c:pt>
                <c:pt idx="17">
                  <c:v>26295</c:v>
                </c:pt>
                <c:pt idx="18">
                  <c:v>26891.5</c:v>
                </c:pt>
                <c:pt idx="19">
                  <c:v>26891.5</c:v>
                </c:pt>
                <c:pt idx="20">
                  <c:v>28642</c:v>
                </c:pt>
                <c:pt idx="21">
                  <c:v>29298.5</c:v>
                </c:pt>
                <c:pt idx="22">
                  <c:v>29341.5</c:v>
                </c:pt>
                <c:pt idx="23">
                  <c:v>29370.5</c:v>
                </c:pt>
                <c:pt idx="24">
                  <c:v>29967</c:v>
                </c:pt>
                <c:pt idx="25">
                  <c:v>30047.5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C-4C5B-A936-4EC94A77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40928"/>
        <c:axId val="1"/>
      </c:scatterChart>
      <c:valAx>
        <c:axId val="52314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88990825688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14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84403669724773"/>
          <c:y val="0.92397660818713445"/>
          <c:w val="0.54472477064220182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B05533-0E1A-338F-C106-4B007021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A082B7F-DA5D-2D9B-AD5B-002208E9A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3.pdf" TargetMode="External"/><Relationship Id="rId13" Type="http://schemas.openxmlformats.org/officeDocument/2006/relationships/hyperlink" Target="http://vsolj.cetus-net.org/vsoljno53.pdf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vsolj.cetus-net.org/vsoljno53.pdf" TargetMode="External"/><Relationship Id="rId12" Type="http://schemas.openxmlformats.org/officeDocument/2006/relationships/hyperlink" Target="http://www.konkoly.hu/cgi-bin/IBVS?6033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vsoljno53.pdf" TargetMode="External"/><Relationship Id="rId16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vsoljno53.pdf" TargetMode="External"/><Relationship Id="rId6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solj.cetus-net.org/vsoljno53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vsolj.cetus-net.org/vsoljno53.pdf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45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8" t="s">
        <v>41</v>
      </c>
      <c r="D4" s="29" t="s">
        <v>41</v>
      </c>
    </row>
    <row r="5" spans="1:6" ht="13.5" thickTop="1" x14ac:dyDescent="0.2">
      <c r="A5" s="9" t="s">
        <v>29</v>
      </c>
      <c r="B5" s="46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40499.375</v>
      </c>
      <c r="D7" s="27" t="s">
        <v>40</v>
      </c>
    </row>
    <row r="8" spans="1:6" x14ac:dyDescent="0.2">
      <c r="A8" t="s">
        <v>4</v>
      </c>
      <c r="C8" s="8">
        <v>0.58334872000849158</v>
      </c>
      <c r="D8" s="27" t="s">
        <v>40</v>
      </c>
    </row>
    <row r="9" spans="1:6" x14ac:dyDescent="0.2">
      <c r="A9" s="24" t="s">
        <v>33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6" ht="13.5" thickBot="1" x14ac:dyDescent="0.25">
      <c r="A10" s="10"/>
      <c r="B10" s="46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46"/>
      <c r="C11" s="21">
        <f ca="1">INTERCEPT(INDIRECT($D$9):G992,INDIRECT($C$9):F992)</f>
        <v>-0.12669055205297047</v>
      </c>
      <c r="D11" s="3"/>
      <c r="E11" s="10"/>
    </row>
    <row r="12" spans="1:6" x14ac:dyDescent="0.2">
      <c r="A12" s="10" t="s">
        <v>17</v>
      </c>
      <c r="B12" s="46"/>
      <c r="C12" s="21">
        <f ca="1">SLOPE(INDIRECT($D$9):G992,INDIRECT($C$9):F992)</f>
        <v>3.2507155628588336E-9</v>
      </c>
      <c r="D12" s="3"/>
      <c r="E12" s="10"/>
    </row>
    <row r="13" spans="1:6" x14ac:dyDescent="0.2">
      <c r="A13" s="10" t="s">
        <v>19</v>
      </c>
      <c r="B13" s="46"/>
      <c r="C13" s="3" t="s">
        <v>14</v>
      </c>
    </row>
    <row r="14" spans="1:6" x14ac:dyDescent="0.2">
      <c r="A14" s="10"/>
      <c r="B14" s="46"/>
      <c r="C14" s="10"/>
    </row>
    <row r="15" spans="1:6" x14ac:dyDescent="0.2">
      <c r="A15" s="12" t="s">
        <v>18</v>
      </c>
      <c r="B15" s="46"/>
      <c r="C15" s="13">
        <f ca="1">(C7+C11)+(C8+C12)*INT(MAX(F21:F3533))</f>
        <v>58027.127397217344</v>
      </c>
      <c r="E15" s="14" t="s">
        <v>35</v>
      </c>
      <c r="F15" s="11">
        <v>1</v>
      </c>
    </row>
    <row r="16" spans="1:6" x14ac:dyDescent="0.2">
      <c r="A16" s="16" t="s">
        <v>5</v>
      </c>
      <c r="B16" s="46"/>
      <c r="C16" s="17">
        <f ca="1">+C8+C12</f>
        <v>0.58334872325920717</v>
      </c>
      <c r="E16" s="14" t="s">
        <v>31</v>
      </c>
      <c r="F16" s="15">
        <f ca="1">NOW()+15018.5+$C$5/24</f>
        <v>60346.778130787032</v>
      </c>
    </row>
    <row r="17" spans="1:21" ht="13.5" thickBot="1" x14ac:dyDescent="0.25">
      <c r="A17" s="14" t="s">
        <v>28</v>
      </c>
      <c r="B17" s="46"/>
      <c r="C17" s="10">
        <f>COUNT(C21:C2191)</f>
        <v>26</v>
      </c>
      <c r="E17" s="14" t="s">
        <v>36</v>
      </c>
      <c r="F17" s="15">
        <f ca="1">ROUND(2*(F16-$C$7)/$C$8,0)/2+F15</f>
        <v>34024</v>
      </c>
    </row>
    <row r="18" spans="1:21" ht="14.25" thickTop="1" thickBot="1" x14ac:dyDescent="0.25">
      <c r="A18" s="16" t="s">
        <v>6</v>
      </c>
      <c r="B18" s="46"/>
      <c r="C18" s="19">
        <f ca="1">+C15</f>
        <v>58027.127397217344</v>
      </c>
      <c r="D18" s="20">
        <f ca="1">+C16</f>
        <v>0.58334872325920717</v>
      </c>
      <c r="E18" s="14" t="s">
        <v>37</v>
      </c>
      <c r="F18" s="23">
        <f ca="1">ROUND(2*(F16-$C$15)/$C$16,0)/2+F15</f>
        <v>3977.5</v>
      </c>
    </row>
    <row r="19" spans="1:21" ht="13.5" thickTop="1" x14ac:dyDescent="0.2">
      <c r="E19" s="14" t="s">
        <v>32</v>
      </c>
      <c r="F19" s="18">
        <f ca="1">+$C$15+$C$16*F18-15018.5-$C$5/24</f>
        <v>45329.292777314178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s="49" t="s">
        <v>60</v>
      </c>
      <c r="B21" s="47" t="s">
        <v>43</v>
      </c>
      <c r="C21" s="44">
        <v>40499.360000000001</v>
      </c>
      <c r="D21" s="44" t="s">
        <v>54</v>
      </c>
      <c r="E21">
        <f t="shared" ref="E21:E41" si="0">+(C21-C$7)/C$8</f>
        <v>-2.5713607461416172E-2</v>
      </c>
      <c r="F21">
        <f>ROUND(2*E21,0)/2</f>
        <v>0</v>
      </c>
      <c r="G21">
        <f t="shared" ref="G21:G41" si="1">+C21-(C$7+F21*C$8)</f>
        <v>-1.4999999999417923E-2</v>
      </c>
      <c r="I21">
        <f>+G21</f>
        <v>-1.4999999999417923E-2</v>
      </c>
      <c r="O21">
        <f t="shared" ref="O21:O41" ca="1" si="2">+C$11+C$12*$F21</f>
        <v>-0.12669055205297047</v>
      </c>
      <c r="Q21" s="2">
        <f t="shared" ref="Q21:Q41" si="3">+C21-15018.5</f>
        <v>25480.86</v>
      </c>
      <c r="R21" s="2"/>
      <c r="S21" s="2"/>
      <c r="T21" s="2"/>
    </row>
    <row r="22" spans="1:21" x14ac:dyDescent="0.2">
      <c r="A22" s="48" t="s">
        <v>40</v>
      </c>
      <c r="C22" s="8">
        <v>40499.375</v>
      </c>
      <c r="D22" s="8" t="s">
        <v>14</v>
      </c>
      <c r="E22">
        <f t="shared" si="0"/>
        <v>0</v>
      </c>
      <c r="F22">
        <f>ROUND(2*E22,0)/2</f>
        <v>0</v>
      </c>
      <c r="G22">
        <f t="shared" si="1"/>
        <v>0</v>
      </c>
      <c r="H22">
        <f>+G22</f>
        <v>0</v>
      </c>
      <c r="O22">
        <f t="shared" ca="1" si="2"/>
        <v>-0.12669055205297047</v>
      </c>
      <c r="Q22" s="2">
        <f t="shared" si="3"/>
        <v>25480.875</v>
      </c>
      <c r="R22" s="2"/>
      <c r="S22" s="2"/>
      <c r="T22" s="2"/>
    </row>
    <row r="23" spans="1:21" x14ac:dyDescent="0.2">
      <c r="A23" s="43" t="s">
        <v>60</v>
      </c>
      <c r="B23" s="47" t="s">
        <v>43</v>
      </c>
      <c r="C23" s="44">
        <v>40499.39</v>
      </c>
      <c r="D23" s="44" t="s">
        <v>54</v>
      </c>
      <c r="E23">
        <f t="shared" si="0"/>
        <v>2.5713607461416172E-2</v>
      </c>
      <c r="F23">
        <f>ROUND(2*E23,0)/2</f>
        <v>0</v>
      </c>
      <c r="G23">
        <f t="shared" si="1"/>
        <v>1.4999999999417923E-2</v>
      </c>
      <c r="I23">
        <f>+G23</f>
        <v>1.4999999999417923E-2</v>
      </c>
      <c r="O23">
        <f t="shared" ca="1" si="2"/>
        <v>-0.12669055205297047</v>
      </c>
      <c r="Q23" s="2">
        <f t="shared" si="3"/>
        <v>25480.89</v>
      </c>
      <c r="R23" s="2"/>
      <c r="S23" s="2"/>
      <c r="T23" s="2"/>
    </row>
    <row r="24" spans="1:21" x14ac:dyDescent="0.2">
      <c r="A24" s="43" t="s">
        <v>69</v>
      </c>
      <c r="B24" s="47" t="s">
        <v>43</v>
      </c>
      <c r="C24" s="44">
        <v>55810.401100000003</v>
      </c>
      <c r="D24" s="44" t="s">
        <v>54</v>
      </c>
      <c r="E24">
        <f t="shared" si="0"/>
        <v>26246.780998811701</v>
      </c>
      <c r="F24">
        <f t="shared" ref="F24:F45" si="4">ROUND(2*E24,0)/2</f>
        <v>26247</v>
      </c>
      <c r="G24">
        <f t="shared" si="1"/>
        <v>-0.1277540628798306</v>
      </c>
      <c r="I24">
        <f>+G24</f>
        <v>-0.1277540628798306</v>
      </c>
      <c r="O24">
        <f t="shared" ca="1" si="2"/>
        <v>-0.12660523052159212</v>
      </c>
      <c r="Q24" s="2">
        <f t="shared" si="3"/>
        <v>40791.901100000003</v>
      </c>
      <c r="R24" s="2"/>
      <c r="S24" s="2"/>
      <c r="T24" s="2"/>
    </row>
    <row r="25" spans="1:21" x14ac:dyDescent="0.2">
      <c r="A25" s="43" t="s">
        <v>69</v>
      </c>
      <c r="B25" s="47" t="s">
        <v>120</v>
      </c>
      <c r="C25" s="44">
        <v>55815.361900000004</v>
      </c>
      <c r="D25" s="44" t="s">
        <v>54</v>
      </c>
      <c r="E25">
        <f t="shared" si="0"/>
        <v>26255.285003071669</v>
      </c>
      <c r="F25">
        <f t="shared" si="4"/>
        <v>26255.5</v>
      </c>
      <c r="G25">
        <f t="shared" si="1"/>
        <v>-0.125418182949943</v>
      </c>
      <c r="I25">
        <f>+G25</f>
        <v>-0.125418182949943</v>
      </c>
      <c r="O25">
        <f t="shared" ca="1" si="2"/>
        <v>-0.12660520289050983</v>
      </c>
      <c r="Q25" s="2">
        <f t="shared" si="3"/>
        <v>40796.861900000004</v>
      </c>
      <c r="R25" s="2"/>
      <c r="S25" s="2"/>
      <c r="T25" s="2"/>
    </row>
    <row r="26" spans="1:21" x14ac:dyDescent="0.2">
      <c r="A26" s="43" t="s">
        <v>69</v>
      </c>
      <c r="B26" s="47" t="s">
        <v>43</v>
      </c>
      <c r="C26" s="44">
        <v>55820.318599999999</v>
      </c>
      <c r="D26" s="44" t="s">
        <v>54</v>
      </c>
      <c r="E26">
        <f t="shared" si="0"/>
        <v>26263.78197894559</v>
      </c>
      <c r="F26">
        <f t="shared" si="4"/>
        <v>26264</v>
      </c>
      <c r="G26">
        <f t="shared" si="1"/>
        <v>-0.12718230302562006</v>
      </c>
      <c r="I26">
        <f>+G26</f>
        <v>-0.12718230302562006</v>
      </c>
      <c r="O26">
        <f t="shared" ca="1" si="2"/>
        <v>-0.12660517525942755</v>
      </c>
      <c r="Q26" s="2">
        <f t="shared" si="3"/>
        <v>40801.818599999999</v>
      </c>
      <c r="R26" s="2"/>
      <c r="S26" s="2"/>
      <c r="T26" s="2"/>
    </row>
    <row r="27" spans="1:21" x14ac:dyDescent="0.2">
      <c r="A27" s="43" t="s">
        <v>69</v>
      </c>
      <c r="B27" s="47" t="s">
        <v>43</v>
      </c>
      <c r="C27" s="44">
        <v>55820.318800000001</v>
      </c>
      <c r="D27" s="44" t="s">
        <v>54</v>
      </c>
      <c r="E27">
        <f t="shared" si="0"/>
        <v>26263.782321793693</v>
      </c>
      <c r="F27">
        <f t="shared" si="4"/>
        <v>26264</v>
      </c>
      <c r="G27">
        <f t="shared" si="1"/>
        <v>-0.12698230302339653</v>
      </c>
      <c r="I27">
        <f>+G27</f>
        <v>-0.12698230302339653</v>
      </c>
      <c r="O27">
        <f t="shared" ca="1" si="2"/>
        <v>-0.12660517525942755</v>
      </c>
      <c r="Q27" s="2">
        <f t="shared" si="3"/>
        <v>40801.818800000001</v>
      </c>
      <c r="R27" s="2"/>
      <c r="S27" s="2"/>
      <c r="T27" s="2"/>
    </row>
    <row r="28" spans="1:21" x14ac:dyDescent="0.2">
      <c r="A28" s="43" t="s">
        <v>69</v>
      </c>
      <c r="B28" s="47" t="s">
        <v>43</v>
      </c>
      <c r="C28" s="44">
        <v>55827.319300000003</v>
      </c>
      <c r="D28" s="44" t="s">
        <v>54</v>
      </c>
      <c r="E28">
        <f t="shared" si="0"/>
        <v>26275.782862396405</v>
      </c>
      <c r="F28">
        <f t="shared" si="4"/>
        <v>26276</v>
      </c>
      <c r="G28">
        <f t="shared" si="1"/>
        <v>-0.12666694312065374</v>
      </c>
      <c r="I28">
        <f>+G28</f>
        <v>-0.12666694312065374</v>
      </c>
      <c r="O28">
        <f t="shared" ca="1" si="2"/>
        <v>-0.1266051362508408</v>
      </c>
      <c r="Q28" s="2">
        <f t="shared" si="3"/>
        <v>40808.819300000003</v>
      </c>
      <c r="R28" s="2"/>
      <c r="S28" s="2"/>
      <c r="T28" s="2"/>
    </row>
    <row r="29" spans="1:21" x14ac:dyDescent="0.2">
      <c r="A29" s="43" t="s">
        <v>69</v>
      </c>
      <c r="B29" s="47" t="s">
        <v>43</v>
      </c>
      <c r="C29" s="44">
        <v>55827.319300000003</v>
      </c>
      <c r="D29" s="44" t="s">
        <v>54</v>
      </c>
      <c r="E29">
        <f t="shared" si="0"/>
        <v>26275.782862396405</v>
      </c>
      <c r="F29">
        <f t="shared" si="4"/>
        <v>26276</v>
      </c>
      <c r="G29">
        <f t="shared" si="1"/>
        <v>-0.12666694312065374</v>
      </c>
      <c r="I29">
        <f>+G29</f>
        <v>-0.12666694312065374</v>
      </c>
      <c r="O29">
        <f t="shared" ca="1" si="2"/>
        <v>-0.1266051362508408</v>
      </c>
      <c r="Q29" s="2">
        <f t="shared" si="3"/>
        <v>40808.819300000003</v>
      </c>
      <c r="R29" s="2"/>
      <c r="S29" s="2"/>
      <c r="T29" s="2"/>
    </row>
    <row r="30" spans="1:21" x14ac:dyDescent="0.2">
      <c r="A30" s="43" t="s">
        <v>69</v>
      </c>
      <c r="B30" s="47" t="s">
        <v>43</v>
      </c>
      <c r="C30" s="44">
        <v>55831.402399999999</v>
      </c>
      <c r="D30" s="44" t="s">
        <v>54</v>
      </c>
      <c r="E30">
        <f t="shared" si="0"/>
        <v>26282.782277771719</v>
      </c>
      <c r="F30">
        <f t="shared" si="4"/>
        <v>26283</v>
      </c>
      <c r="G30">
        <f t="shared" si="1"/>
        <v>-0.12700798318110174</v>
      </c>
      <c r="I30">
        <f>+G30</f>
        <v>-0.12700798318110174</v>
      </c>
      <c r="O30">
        <f t="shared" ca="1" si="2"/>
        <v>-0.12660511349583187</v>
      </c>
      <c r="Q30" s="2">
        <f t="shared" si="3"/>
        <v>40812.902399999999</v>
      </c>
      <c r="R30" s="2"/>
      <c r="S30" s="2"/>
      <c r="T30" s="2"/>
    </row>
    <row r="31" spans="1:21" x14ac:dyDescent="0.2">
      <c r="A31" s="43" t="s">
        <v>69</v>
      </c>
      <c r="B31" s="47" t="s">
        <v>43</v>
      </c>
      <c r="C31" s="44">
        <v>55831.403100000003</v>
      </c>
      <c r="D31" s="44" t="s">
        <v>54</v>
      </c>
      <c r="E31">
        <f t="shared" si="0"/>
        <v>26282.783477740075</v>
      </c>
      <c r="F31">
        <f t="shared" si="4"/>
        <v>26283</v>
      </c>
      <c r="G31">
        <f t="shared" si="1"/>
        <v>-0.12630798317695735</v>
      </c>
      <c r="I31">
        <f>+G31</f>
        <v>-0.12630798317695735</v>
      </c>
      <c r="O31">
        <f t="shared" ca="1" si="2"/>
        <v>-0.12660511349583187</v>
      </c>
      <c r="Q31" s="2">
        <f t="shared" si="3"/>
        <v>40812.903100000003</v>
      </c>
      <c r="R31" s="2"/>
      <c r="S31" s="2"/>
      <c r="T31" s="2"/>
    </row>
    <row r="32" spans="1:21" x14ac:dyDescent="0.2">
      <c r="A32" s="43" t="s">
        <v>69</v>
      </c>
      <c r="B32" s="47" t="s">
        <v>43</v>
      </c>
      <c r="C32" s="44">
        <v>55831.4041</v>
      </c>
      <c r="D32" s="44" t="s">
        <v>54</v>
      </c>
      <c r="E32">
        <f t="shared" si="0"/>
        <v>26282.785191980565</v>
      </c>
      <c r="F32">
        <f t="shared" si="4"/>
        <v>26283</v>
      </c>
      <c r="G32">
        <f t="shared" si="1"/>
        <v>-0.1253079831803916</v>
      </c>
      <c r="I32">
        <f>+G32</f>
        <v>-0.1253079831803916</v>
      </c>
      <c r="O32">
        <f t="shared" ca="1" si="2"/>
        <v>-0.12660511349583187</v>
      </c>
      <c r="Q32" s="2">
        <f t="shared" si="3"/>
        <v>40812.9041</v>
      </c>
      <c r="R32" s="2"/>
      <c r="S32" s="2"/>
      <c r="T32" s="2"/>
    </row>
    <row r="33" spans="1:20" x14ac:dyDescent="0.2">
      <c r="A33" s="43" t="s">
        <v>69</v>
      </c>
      <c r="B33" s="47" t="s">
        <v>43</v>
      </c>
      <c r="C33" s="44">
        <v>55834.319300000003</v>
      </c>
      <c r="D33" s="44" t="s">
        <v>54</v>
      </c>
      <c r="E33">
        <f t="shared" si="0"/>
        <v>26287.782545878865</v>
      </c>
      <c r="F33">
        <f t="shared" si="4"/>
        <v>26288</v>
      </c>
      <c r="G33">
        <f t="shared" si="1"/>
        <v>-0.12685158321983181</v>
      </c>
      <c r="I33">
        <f>+G33</f>
        <v>-0.12685158321983181</v>
      </c>
      <c r="O33">
        <f t="shared" ca="1" si="2"/>
        <v>-0.12660509724225405</v>
      </c>
      <c r="Q33" s="2">
        <f t="shared" si="3"/>
        <v>40815.819300000003</v>
      </c>
      <c r="R33" s="2"/>
      <c r="S33" s="2"/>
      <c r="T33" s="2"/>
    </row>
    <row r="34" spans="1:20" x14ac:dyDescent="0.2">
      <c r="A34" s="43" t="s">
        <v>69</v>
      </c>
      <c r="B34" s="47" t="s">
        <v>43</v>
      </c>
      <c r="C34" s="44">
        <v>55834.319499999998</v>
      </c>
      <c r="D34" s="44" t="s">
        <v>54</v>
      </c>
      <c r="E34">
        <f t="shared" si="0"/>
        <v>26287.782888726957</v>
      </c>
      <c r="F34">
        <f t="shared" si="4"/>
        <v>26288</v>
      </c>
      <c r="G34">
        <f t="shared" si="1"/>
        <v>-0.12665158322488423</v>
      </c>
      <c r="I34">
        <f>+G34</f>
        <v>-0.12665158322488423</v>
      </c>
      <c r="O34">
        <f t="shared" ca="1" si="2"/>
        <v>-0.12660509724225405</v>
      </c>
      <c r="Q34" s="2">
        <f t="shared" si="3"/>
        <v>40815.819499999998</v>
      </c>
      <c r="R34" s="2"/>
      <c r="S34" s="2"/>
      <c r="T34" s="2"/>
    </row>
    <row r="35" spans="1:20" x14ac:dyDescent="0.2">
      <c r="A35" s="51" t="s">
        <v>42</v>
      </c>
      <c r="B35" s="52" t="s">
        <v>43</v>
      </c>
      <c r="C35" s="53">
        <v>55834.3197</v>
      </c>
      <c r="D35" s="53">
        <v>2.9999999999999997E-4</v>
      </c>
      <c r="E35">
        <f t="shared" si="0"/>
        <v>26287.78323157506</v>
      </c>
      <c r="F35">
        <f t="shared" si="4"/>
        <v>26288</v>
      </c>
      <c r="G35">
        <f t="shared" si="1"/>
        <v>-0.1264515832226607</v>
      </c>
      <c r="K35">
        <f t="shared" ref="K24:K40" si="5">+G35</f>
        <v>-0.1264515832226607</v>
      </c>
      <c r="O35">
        <f t="shared" ca="1" si="2"/>
        <v>-0.12660509724225405</v>
      </c>
      <c r="Q35" s="2">
        <f t="shared" si="3"/>
        <v>40815.8197</v>
      </c>
      <c r="R35" s="2"/>
      <c r="S35" s="2"/>
      <c r="T35" s="2"/>
    </row>
    <row r="36" spans="1:20" x14ac:dyDescent="0.2">
      <c r="A36" s="43" t="s">
        <v>69</v>
      </c>
      <c r="B36" s="47" t="s">
        <v>43</v>
      </c>
      <c r="C36" s="44">
        <v>55834.319799999997</v>
      </c>
      <c r="D36" s="44" t="s">
        <v>54</v>
      </c>
      <c r="E36">
        <f t="shared" si="0"/>
        <v>26287.783402999106</v>
      </c>
      <c r="F36">
        <f t="shared" si="4"/>
        <v>26288</v>
      </c>
      <c r="G36">
        <f t="shared" si="1"/>
        <v>-0.12635158322518691</v>
      </c>
      <c r="I36">
        <f>+G36</f>
        <v>-0.12635158322518691</v>
      </c>
      <c r="O36">
        <f t="shared" ca="1" si="2"/>
        <v>-0.12660509724225405</v>
      </c>
      <c r="Q36" s="2">
        <f t="shared" si="3"/>
        <v>40815.819799999997</v>
      </c>
      <c r="R36" s="2"/>
      <c r="S36" s="2"/>
      <c r="T36" s="2"/>
    </row>
    <row r="37" spans="1:20" x14ac:dyDescent="0.2">
      <c r="A37" s="43" t="s">
        <v>69</v>
      </c>
      <c r="B37" s="47" t="s">
        <v>43</v>
      </c>
      <c r="C37" s="44">
        <v>55838.402999999998</v>
      </c>
      <c r="D37" s="44" t="s">
        <v>54</v>
      </c>
      <c r="E37">
        <f t="shared" si="0"/>
        <v>26294.782989798478</v>
      </c>
      <c r="F37">
        <f t="shared" si="4"/>
        <v>26295</v>
      </c>
      <c r="G37">
        <f t="shared" si="1"/>
        <v>-0.12659262328816112</v>
      </c>
      <c r="I37">
        <f>+G37</f>
        <v>-0.12659262328816112</v>
      </c>
      <c r="O37">
        <f t="shared" ca="1" si="2"/>
        <v>-0.12660507448724509</v>
      </c>
      <c r="Q37" s="2">
        <f t="shared" si="3"/>
        <v>40819.902999999998</v>
      </c>
      <c r="R37" s="2"/>
      <c r="S37" s="2"/>
      <c r="T37" s="2"/>
    </row>
    <row r="38" spans="1:20" x14ac:dyDescent="0.2">
      <c r="A38" s="43" t="s">
        <v>69</v>
      </c>
      <c r="B38" s="47" t="s">
        <v>43</v>
      </c>
      <c r="C38" s="44">
        <v>55838.403299999998</v>
      </c>
      <c r="D38" s="44" t="s">
        <v>54</v>
      </c>
      <c r="E38">
        <f t="shared" si="0"/>
        <v>26294.783504070623</v>
      </c>
      <c r="F38">
        <f t="shared" si="4"/>
        <v>26295</v>
      </c>
      <c r="G38">
        <f t="shared" si="1"/>
        <v>-0.1262926232884638</v>
      </c>
      <c r="I38">
        <f>+G38</f>
        <v>-0.1262926232884638</v>
      </c>
      <c r="O38">
        <f t="shared" ca="1" si="2"/>
        <v>-0.12660507448724509</v>
      </c>
      <c r="Q38" s="2">
        <f t="shared" si="3"/>
        <v>40819.903299999998</v>
      </c>
      <c r="R38" s="2"/>
      <c r="S38" s="2"/>
      <c r="T38" s="2"/>
    </row>
    <row r="39" spans="1:20" x14ac:dyDescent="0.2">
      <c r="A39" s="43" t="s">
        <v>110</v>
      </c>
      <c r="B39" s="47" t="s">
        <v>120</v>
      </c>
      <c r="C39" s="44">
        <v>56186.3701</v>
      </c>
      <c r="D39" s="44" t="s">
        <v>54</v>
      </c>
      <c r="E39">
        <f t="shared" si="0"/>
        <v>26891.282284414116</v>
      </c>
      <c r="F39">
        <f t="shared" si="4"/>
        <v>26891.5</v>
      </c>
      <c r="G39">
        <f t="shared" si="1"/>
        <v>-0.12700410834804643</v>
      </c>
      <c r="I39">
        <f>+G39</f>
        <v>-0.12700410834804643</v>
      </c>
      <c r="O39">
        <f t="shared" ca="1" si="2"/>
        <v>-0.12660313543541185</v>
      </c>
      <c r="Q39" s="2">
        <f t="shared" si="3"/>
        <v>41167.8701</v>
      </c>
      <c r="R39" s="2"/>
      <c r="S39" s="2"/>
      <c r="T39" s="2"/>
    </row>
    <row r="40" spans="1:20" x14ac:dyDescent="0.2">
      <c r="A40" s="43" t="s">
        <v>110</v>
      </c>
      <c r="B40" s="47" t="s">
        <v>120</v>
      </c>
      <c r="C40" s="44">
        <v>56186.370499999997</v>
      </c>
      <c r="D40" s="44" t="s">
        <v>54</v>
      </c>
      <c r="E40">
        <f t="shared" si="0"/>
        <v>26891.282970110311</v>
      </c>
      <c r="F40">
        <f t="shared" si="4"/>
        <v>26891.5</v>
      </c>
      <c r="G40">
        <f t="shared" si="1"/>
        <v>-0.12660410835087532</v>
      </c>
      <c r="I40">
        <f>+G40</f>
        <v>-0.12660410835087532</v>
      </c>
      <c r="O40">
        <f t="shared" ca="1" si="2"/>
        <v>-0.12660313543541185</v>
      </c>
      <c r="Q40" s="2">
        <f t="shared" si="3"/>
        <v>41167.870499999997</v>
      </c>
      <c r="R40" s="2"/>
      <c r="S40" s="2"/>
      <c r="T40" s="2"/>
    </row>
    <row r="41" spans="1:20" x14ac:dyDescent="0.2">
      <c r="A41" s="55" t="s">
        <v>121</v>
      </c>
      <c r="B41" s="56"/>
      <c r="C41" s="57">
        <v>57207.521399999998</v>
      </c>
      <c r="D41" s="57">
        <v>1.5E-3</v>
      </c>
      <c r="E41">
        <f t="shared" si="0"/>
        <v>28641.781196943029</v>
      </c>
      <c r="F41">
        <f t="shared" si="4"/>
        <v>28642</v>
      </c>
      <c r="G41">
        <f t="shared" si="1"/>
        <v>-0.12763848321628757</v>
      </c>
      <c r="J41">
        <f>+G41</f>
        <v>-0.12763848321628757</v>
      </c>
      <c r="O41">
        <f t="shared" ca="1" si="2"/>
        <v>-0.12659744505781906</v>
      </c>
      <c r="Q41" s="2">
        <f t="shared" si="3"/>
        <v>42189.021399999998</v>
      </c>
      <c r="R41" s="2"/>
      <c r="S41" s="2"/>
      <c r="T41" s="2"/>
    </row>
    <row r="42" spans="1:20" x14ac:dyDescent="0.2">
      <c r="A42" s="58" t="s">
        <v>122</v>
      </c>
      <c r="B42" s="59" t="s">
        <v>120</v>
      </c>
      <c r="C42" s="60">
        <v>57590.492059999997</v>
      </c>
      <c r="D42" s="60">
        <v>2.0000000000000001E-4</v>
      </c>
      <c r="E42">
        <f>+(C42-C$7)/C$8</f>
        <v>29298.285011667136</v>
      </c>
      <c r="F42">
        <f t="shared" si="4"/>
        <v>29298.5</v>
      </c>
      <c r="G42">
        <f>+C42-(C$7+F42*C$8)</f>
        <v>-0.12541316879651276</v>
      </c>
      <c r="K42">
        <f>+G42</f>
        <v>-0.12541316879651276</v>
      </c>
      <c r="O42">
        <f ca="1">+C$11+C$12*$F42</f>
        <v>-0.12659531096305204</v>
      </c>
      <c r="Q42" s="2">
        <f>+C42-15018.5</f>
        <v>42571.992059999997</v>
      </c>
    </row>
    <row r="43" spans="1:20" x14ac:dyDescent="0.2">
      <c r="A43" s="58" t="s">
        <v>122</v>
      </c>
      <c r="B43" s="59" t="s">
        <v>120</v>
      </c>
      <c r="C43" s="60">
        <v>57615.573640000002</v>
      </c>
      <c r="D43" s="60">
        <v>2.9999999999999997E-4</v>
      </c>
      <c r="E43">
        <f>+(C43-C$7)/C$8</f>
        <v>29341.280871844287</v>
      </c>
      <c r="F43">
        <f t="shared" si="4"/>
        <v>29341.5</v>
      </c>
      <c r="G43">
        <f>+C43-(C$7+F43*C$8)</f>
        <v>-0.12782812915247632</v>
      </c>
      <c r="K43">
        <f>+G43</f>
        <v>-0.12782812915247632</v>
      </c>
      <c r="O43">
        <f ca="1">+C$11+C$12*$F43</f>
        <v>-0.12659517118228286</v>
      </c>
      <c r="Q43" s="2">
        <f>+C43-15018.5</f>
        <v>42597.073640000002</v>
      </c>
    </row>
    <row r="44" spans="1:20" x14ac:dyDescent="0.2">
      <c r="A44" s="58" t="s">
        <v>122</v>
      </c>
      <c r="B44" s="59" t="s">
        <v>120</v>
      </c>
      <c r="C44" s="60">
        <v>57632.492749999998</v>
      </c>
      <c r="D44" s="60">
        <v>1E-4</v>
      </c>
      <c r="E44">
        <f>+(C44-C$7)/C$8</f>
        <v>29370.284295387839</v>
      </c>
      <c r="F44">
        <f t="shared" si="4"/>
        <v>29370.5</v>
      </c>
      <c r="G44">
        <f>+C44-(C$7+F44*C$8)</f>
        <v>-0.12583100940537406</v>
      </c>
      <c r="K44">
        <f>+G44</f>
        <v>-0.12583100940537406</v>
      </c>
      <c r="O44">
        <f ca="1">+C$11+C$12*$F44</f>
        <v>-0.12659507691153152</v>
      </c>
      <c r="Q44" s="2">
        <f>+C44-15018.5</f>
        <v>42613.992749999998</v>
      </c>
    </row>
    <row r="45" spans="1:20" x14ac:dyDescent="0.2">
      <c r="A45" s="54" t="s">
        <v>0</v>
      </c>
      <c r="B45" s="66" t="s">
        <v>43</v>
      </c>
      <c r="C45" s="61">
        <v>57980.459600000002</v>
      </c>
      <c r="D45" s="61">
        <v>8.9999999999999998E-4</v>
      </c>
      <c r="E45">
        <f>+(C45-C$7)/C$8</f>
        <v>29966.78316144336</v>
      </c>
      <c r="F45">
        <f t="shared" si="4"/>
        <v>29967</v>
      </c>
      <c r="G45">
        <f>+C45-(C$7+F45*C$8)</f>
        <v>-0.12649249446985777</v>
      </c>
      <c r="K45">
        <f>+G45</f>
        <v>-0.12649249446985777</v>
      </c>
      <c r="O45">
        <f ca="1">+C$11+C$12*$F45</f>
        <v>-0.12659313785969828</v>
      </c>
      <c r="Q45" s="2">
        <f>+C45-15018.5</f>
        <v>42961.959600000002</v>
      </c>
    </row>
    <row r="46" spans="1:20" x14ac:dyDescent="0.2">
      <c r="A46" s="63" t="s">
        <v>123</v>
      </c>
      <c r="B46" s="64" t="s">
        <v>120</v>
      </c>
      <c r="C46" s="65">
        <v>58027.419110000134</v>
      </c>
      <c r="D46" s="65">
        <v>2.0000000000000001E-4</v>
      </c>
      <c r="E46">
        <f>+(C46-C$7)/C$8</f>
        <v>30047.283055228072</v>
      </c>
      <c r="F46">
        <f>ROUND(2*E46,0)/2</f>
        <v>30047.5</v>
      </c>
      <c r="G46">
        <f>+C46-(C$7+F46*C$8)</f>
        <v>-0.12655445501877693</v>
      </c>
      <c r="K46">
        <f>+G46</f>
        <v>-0.12655445501877693</v>
      </c>
      <c r="O46">
        <f ca="1">+C$11+C$12*$F46</f>
        <v>-0.12659287617709547</v>
      </c>
      <c r="Q46" s="2">
        <f>+C46-15018.5</f>
        <v>43008.919110000134</v>
      </c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6:D46" name="Range1"/>
  </protectedRanges>
  <phoneticPr fontId="8" type="noConversion"/>
  <hyperlinks>
    <hyperlink ref="H784" r:id="rId1" display="http://vsolj.cetus-net.org/bulletin.html" xr:uid="{00000000-0004-0000-0000-000000000000}"/>
    <hyperlink ref="H64539" r:id="rId2" display="http://vsolj.cetus-net.org/bulletin.html" xr:uid="{00000000-0004-0000-0000-000001000000}"/>
    <hyperlink ref="H64532" r:id="rId3" display="https://www.aavso.org/ejaavso" xr:uid="{00000000-0004-0000-0000-000002000000}"/>
    <hyperlink ref="AP683" r:id="rId4" display="http://cdsbib.u-strasbg.fr/cgi-bin/cdsbib?1990RMxAA..21..381G" xr:uid="{00000000-0004-0000-0000-000003000000}"/>
    <hyperlink ref="AP687" r:id="rId5" display="http://cdsbib.u-strasbg.fr/cgi-bin/cdsbib?1990RMxAA..21..381G" xr:uid="{00000000-0004-0000-0000-000004000000}"/>
    <hyperlink ref="AP686" r:id="rId6" display="http://cdsbib.u-strasbg.fr/cgi-bin/cdsbib?1990RMxAA..21..381G" xr:uid="{00000000-0004-0000-0000-000005000000}"/>
    <hyperlink ref="AP667" r:id="rId7" display="http://cdsbib.u-strasbg.fr/cgi-bin/cdsbib?1990RMxAA..21..381G" xr:uid="{00000000-0004-0000-0000-000006000000}"/>
    <hyperlink ref="I64539" r:id="rId8" display="http://vsolj.cetus-net.org/bulletin.html" xr:uid="{00000000-0004-0000-0000-000007000000}"/>
    <hyperlink ref="AQ823" r:id="rId9" display="http://cdsbib.u-strasbg.fr/cgi-bin/cdsbib?1990RMxAA..21..381G" xr:uid="{00000000-0004-0000-0000-000008000000}"/>
    <hyperlink ref="AQ55589" r:id="rId10" display="http://cdsbib.u-strasbg.fr/cgi-bin/cdsbib?1990RMxAA..21..381G" xr:uid="{00000000-0004-0000-0000-000009000000}"/>
    <hyperlink ref="AQ824" r:id="rId11" display="http://cdsbib.u-strasbg.fr/cgi-bin/cdsbib?1990RMxAA..21..381G" xr:uid="{00000000-0004-0000-0000-00000A000000}"/>
    <hyperlink ref="H64536" r:id="rId12" display="https://www.aavso.org/ejaavso" xr:uid="{00000000-0004-0000-0000-00000B000000}"/>
    <hyperlink ref="H1709" r:id="rId13" display="http://vsolj.cetus-net.org/bulletin.html" xr:uid="{00000000-0004-0000-0000-00000C000000}"/>
    <hyperlink ref="AP2953" r:id="rId14" display="http://cdsbib.u-strasbg.fr/cgi-bin/cdsbib?1990RMxAA..21..381G" xr:uid="{00000000-0004-0000-0000-00000D000000}"/>
    <hyperlink ref="AP2956" r:id="rId15" display="http://cdsbib.u-strasbg.fr/cgi-bin/cdsbib?1990RMxAA..21..381G" xr:uid="{00000000-0004-0000-0000-00000E000000}"/>
    <hyperlink ref="AP2954" r:id="rId16" display="http://cdsbib.u-strasbg.fr/cgi-bin/cdsbib?1990RMxAA..21..381G" xr:uid="{00000000-0004-0000-0000-00000F000000}"/>
    <hyperlink ref="AP2938" r:id="rId17" display="http://cdsbib.u-strasbg.fr/cgi-bin/cdsbib?1990RMxAA..21..381G" xr:uid="{00000000-0004-0000-0000-000010000000}"/>
    <hyperlink ref="I1709" r:id="rId18" display="http://vsolj.cetus-net.org/bulletin.html" xr:uid="{00000000-0004-0000-0000-000011000000}"/>
    <hyperlink ref="AQ3167" r:id="rId19" display="http://cdsbib.u-strasbg.fr/cgi-bin/cdsbib?1990RMxAA..21..381G" xr:uid="{00000000-0004-0000-0000-000012000000}"/>
    <hyperlink ref="AQ65404" r:id="rId20" display="http://cdsbib.u-strasbg.fr/cgi-bin/cdsbib?1990RMxAA..21..381G" xr:uid="{00000000-0004-0000-0000-000013000000}"/>
    <hyperlink ref="AQ317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L33" sqref="L31:M33"/>
    </sheetView>
  </sheetViews>
  <sheetFormatPr defaultColWidth="10.28515625" defaultRowHeight="12.75" x14ac:dyDescent="0.2"/>
  <cols>
    <col min="1" max="1" width="14.42578125" customWidth="1"/>
    <col min="2" max="2" width="3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45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8" t="s">
        <v>41</v>
      </c>
      <c r="D4" s="29" t="s">
        <v>41</v>
      </c>
    </row>
    <row r="5" spans="1:6" ht="13.5" thickTop="1" x14ac:dyDescent="0.2">
      <c r="A5" s="9" t="s">
        <v>29</v>
      </c>
      <c r="B5" s="46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40499.375</v>
      </c>
      <c r="D7" s="27" t="s">
        <v>40</v>
      </c>
    </row>
    <row r="8" spans="1:6" x14ac:dyDescent="0.2">
      <c r="A8" t="s">
        <v>4</v>
      </c>
      <c r="C8" s="8">
        <v>0.58326999999999996</v>
      </c>
      <c r="D8" s="27" t="s">
        <v>40</v>
      </c>
    </row>
    <row r="9" spans="1:6" x14ac:dyDescent="0.2">
      <c r="A9" s="24" t="s">
        <v>33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6" ht="13.5" thickBot="1" x14ac:dyDescent="0.25">
      <c r="A10" s="10"/>
      <c r="B10" s="46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46"/>
      <c r="C11" s="21">
        <f ca="1">INTERCEPT(INDIRECT($D$9):G992,INDIRECT($C$9):F992)</f>
        <v>-0.12669055207772173</v>
      </c>
      <c r="D11" s="3"/>
      <c r="E11" s="10"/>
    </row>
    <row r="12" spans="1:6" x14ac:dyDescent="0.2">
      <c r="A12" s="10" t="s">
        <v>17</v>
      </c>
      <c r="B12" s="46"/>
      <c r="C12" s="21">
        <f ca="1">SLOPE(INDIRECT($D$9):G992,INDIRECT($C$9):F992)</f>
        <v>7.8723259208088667E-5</v>
      </c>
      <c r="D12" s="3"/>
      <c r="E12" s="10"/>
    </row>
    <row r="13" spans="1:6" x14ac:dyDescent="0.2">
      <c r="A13" s="10" t="s">
        <v>19</v>
      </c>
      <c r="B13" s="46"/>
      <c r="C13" s="3" t="s">
        <v>14</v>
      </c>
    </row>
    <row r="14" spans="1:6" x14ac:dyDescent="0.2">
      <c r="A14" s="10"/>
      <c r="B14" s="46"/>
      <c r="C14" s="10"/>
    </row>
    <row r="15" spans="1:6" x14ac:dyDescent="0.2">
      <c r="A15" s="12" t="s">
        <v>18</v>
      </c>
      <c r="B15" s="46"/>
      <c r="C15" s="13">
        <f ca="1">(C7+C11)+(C8+C12)*INT(MAX(F21:F3533))</f>
        <v>58027.127397217351</v>
      </c>
      <c r="E15" s="14" t="s">
        <v>35</v>
      </c>
      <c r="F15" s="11">
        <v>1</v>
      </c>
    </row>
    <row r="16" spans="1:6" x14ac:dyDescent="0.2">
      <c r="A16" s="16" t="s">
        <v>5</v>
      </c>
      <c r="B16" s="46"/>
      <c r="C16" s="17">
        <f ca="1">+C8+C12</f>
        <v>0.58334872325920806</v>
      </c>
      <c r="E16" s="14" t="s">
        <v>31</v>
      </c>
      <c r="F16" s="15">
        <f ca="1">NOW()+15018.5+$C$5/24</f>
        <v>60346.778130787032</v>
      </c>
    </row>
    <row r="17" spans="1:21" ht="13.5" thickBot="1" x14ac:dyDescent="0.25">
      <c r="A17" s="14" t="s">
        <v>28</v>
      </c>
      <c r="B17" s="46"/>
      <c r="C17" s="10">
        <f>COUNT(C21:C2191)</f>
        <v>26</v>
      </c>
      <c r="E17" s="14" t="s">
        <v>36</v>
      </c>
      <c r="F17" s="15">
        <f ca="1">ROUND(2*(F16-$C$7)/$C$8,0)/2+F15</f>
        <v>34029</v>
      </c>
    </row>
    <row r="18" spans="1:21" ht="14.25" thickTop="1" thickBot="1" x14ac:dyDescent="0.25">
      <c r="A18" s="16" t="s">
        <v>6</v>
      </c>
      <c r="B18" s="46"/>
      <c r="C18" s="19">
        <f ca="1">+C15</f>
        <v>58027.127397217351</v>
      </c>
      <c r="D18" s="20">
        <f ca="1">+C16</f>
        <v>0.58334872325920806</v>
      </c>
      <c r="E18" s="14" t="s">
        <v>37</v>
      </c>
      <c r="F18" s="23">
        <f ca="1">ROUND(2*(F16-$C$15)/$C$16,0)/2+F15</f>
        <v>3977.5</v>
      </c>
    </row>
    <row r="19" spans="1:21" ht="13.5" thickTop="1" x14ac:dyDescent="0.2">
      <c r="E19" s="14" t="s">
        <v>32</v>
      </c>
      <c r="F19" s="18">
        <f ca="1">+$C$15+$C$16*F18-15018.5-$C$5/24</f>
        <v>45329.292777314186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s="49" t="s">
        <v>60</v>
      </c>
      <c r="B21" s="47" t="s">
        <v>43</v>
      </c>
      <c r="C21" s="44">
        <v>40499.360000000001</v>
      </c>
      <c r="D21" s="44" t="s">
        <v>54</v>
      </c>
      <c r="E21">
        <f t="shared" ref="E21:E45" si="0">+(C21-C$7)/C$8</f>
        <v>-2.5717077853169071E-2</v>
      </c>
      <c r="F21">
        <f>ROUND(2*E21,0)/2</f>
        <v>0</v>
      </c>
      <c r="G21">
        <f t="shared" ref="G21:G45" si="1">+C21-(C$7+F21*C$8)</f>
        <v>-1.4999999999417923E-2</v>
      </c>
      <c r="I21">
        <f>+G21</f>
        <v>-1.4999999999417923E-2</v>
      </c>
      <c r="O21">
        <f t="shared" ref="O21:O45" ca="1" si="2">+C$11+C$12*$F21</f>
        <v>-0.12669055207772173</v>
      </c>
      <c r="Q21" s="2">
        <f t="shared" ref="Q21:Q45" si="3">+C21-15018.5</f>
        <v>25480.86</v>
      </c>
      <c r="R21" s="2"/>
      <c r="S21" s="2"/>
      <c r="T21" s="2"/>
    </row>
    <row r="22" spans="1:21" x14ac:dyDescent="0.2">
      <c r="A22" s="48" t="s">
        <v>40</v>
      </c>
      <c r="C22" s="8">
        <v>40499.375</v>
      </c>
      <c r="D22" s="8" t="s">
        <v>14</v>
      </c>
      <c r="E22">
        <f t="shared" si="0"/>
        <v>0</v>
      </c>
      <c r="F22">
        <f>ROUND(2*E22,0)/2</f>
        <v>0</v>
      </c>
      <c r="G22">
        <f t="shared" si="1"/>
        <v>0</v>
      </c>
      <c r="H22">
        <f>+G22</f>
        <v>0</v>
      </c>
      <c r="O22">
        <f t="shared" ca="1" si="2"/>
        <v>-0.12669055207772173</v>
      </c>
      <c r="Q22" s="2">
        <f t="shared" si="3"/>
        <v>25480.875</v>
      </c>
      <c r="R22" s="2"/>
      <c r="S22" s="2"/>
      <c r="T22" s="2"/>
    </row>
    <row r="23" spans="1:21" x14ac:dyDescent="0.2">
      <c r="A23" s="43" t="s">
        <v>60</v>
      </c>
      <c r="B23" s="47" t="s">
        <v>43</v>
      </c>
      <c r="C23" s="44">
        <v>40499.39</v>
      </c>
      <c r="D23" s="44" t="s">
        <v>54</v>
      </c>
      <c r="E23">
        <f t="shared" si="0"/>
        <v>2.5717077853169071E-2</v>
      </c>
      <c r="F23">
        <f>ROUND(2*E23,0)/2</f>
        <v>0</v>
      </c>
      <c r="G23">
        <f t="shared" si="1"/>
        <v>1.4999999999417923E-2</v>
      </c>
      <c r="I23">
        <f>+G23</f>
        <v>1.4999999999417923E-2</v>
      </c>
      <c r="O23">
        <f t="shared" ca="1" si="2"/>
        <v>-0.12669055207772173</v>
      </c>
      <c r="Q23" s="2">
        <f t="shared" si="3"/>
        <v>25480.89</v>
      </c>
      <c r="R23" s="2"/>
      <c r="S23" s="2"/>
      <c r="T23" s="2"/>
    </row>
    <row r="24" spans="1:21" x14ac:dyDescent="0.2">
      <c r="A24" s="43" t="s">
        <v>69</v>
      </c>
      <c r="B24" s="47" t="s">
        <v>43</v>
      </c>
      <c r="C24" s="44">
        <v>55810.401100000003</v>
      </c>
      <c r="D24" s="44" t="s">
        <v>54</v>
      </c>
      <c r="E24">
        <f t="shared" si="0"/>
        <v>26250.323349392227</v>
      </c>
      <c r="F24" s="50">
        <f t="shared" ref="F24:F44" si="4">ROUND(2*E24,0)/2-3.5</f>
        <v>26247</v>
      </c>
      <c r="G24">
        <f t="shared" si="1"/>
        <v>1.9384100000024773</v>
      </c>
      <c r="I24">
        <f>+G24</f>
        <v>1.9384100000024773</v>
      </c>
      <c r="O24">
        <f t="shared" ca="1" si="2"/>
        <v>1.9395588323569815</v>
      </c>
      <c r="Q24" s="2">
        <f t="shared" si="3"/>
        <v>40791.901100000003</v>
      </c>
      <c r="R24" s="2"/>
      <c r="S24" s="2"/>
      <c r="T24" s="2"/>
    </row>
    <row r="25" spans="1:21" x14ac:dyDescent="0.2">
      <c r="A25" s="43" t="s">
        <v>69</v>
      </c>
      <c r="B25" s="47" t="s">
        <v>120</v>
      </c>
      <c r="C25" s="44">
        <v>55815.361900000004</v>
      </c>
      <c r="D25" s="44" t="s">
        <v>54</v>
      </c>
      <c r="E25">
        <f t="shared" si="0"/>
        <v>26258.828501380158</v>
      </c>
      <c r="F25" s="50">
        <f t="shared" si="4"/>
        <v>26255.5</v>
      </c>
      <c r="G25">
        <f t="shared" si="1"/>
        <v>1.9414150000084192</v>
      </c>
      <c r="I25">
        <f>+G25</f>
        <v>1.9414150000084192</v>
      </c>
      <c r="O25">
        <f t="shared" ca="1" si="2"/>
        <v>1.9402279800602504</v>
      </c>
      <c r="Q25" s="2">
        <f t="shared" si="3"/>
        <v>40796.861900000004</v>
      </c>
      <c r="R25" s="2"/>
      <c r="S25" s="2"/>
      <c r="T25" s="2"/>
    </row>
    <row r="26" spans="1:21" x14ac:dyDescent="0.2">
      <c r="A26" s="43" t="s">
        <v>69</v>
      </c>
      <c r="B26" s="47" t="s">
        <v>43</v>
      </c>
      <c r="C26" s="44">
        <v>55820.318599999999</v>
      </c>
      <c r="D26" s="44" t="s">
        <v>54</v>
      </c>
      <c r="E26">
        <f t="shared" si="0"/>
        <v>26267.326624033467</v>
      </c>
      <c r="F26" s="50">
        <f t="shared" si="4"/>
        <v>26264</v>
      </c>
      <c r="G26">
        <f t="shared" si="1"/>
        <v>1.9403200000015204</v>
      </c>
      <c r="I26">
        <f>+G26</f>
        <v>1.9403200000015204</v>
      </c>
      <c r="O26">
        <f t="shared" ca="1" si="2"/>
        <v>1.940897127763519</v>
      </c>
      <c r="Q26" s="2">
        <f t="shared" si="3"/>
        <v>40801.818599999999</v>
      </c>
      <c r="R26" s="2"/>
      <c r="S26" s="2"/>
      <c r="T26" s="2"/>
    </row>
    <row r="27" spans="1:21" x14ac:dyDescent="0.2">
      <c r="A27" s="43" t="s">
        <v>69</v>
      </c>
      <c r="B27" s="47" t="s">
        <v>43</v>
      </c>
      <c r="C27" s="44">
        <v>55820.318800000001</v>
      </c>
      <c r="D27" s="44" t="s">
        <v>54</v>
      </c>
      <c r="E27">
        <f t="shared" si="0"/>
        <v>26267.326966927842</v>
      </c>
      <c r="F27" s="50">
        <f t="shared" si="4"/>
        <v>26264</v>
      </c>
      <c r="G27">
        <f t="shared" si="1"/>
        <v>1.9405200000037439</v>
      </c>
      <c r="I27">
        <f>+G27</f>
        <v>1.9405200000037439</v>
      </c>
      <c r="O27">
        <f t="shared" ca="1" si="2"/>
        <v>1.940897127763519</v>
      </c>
      <c r="Q27" s="2">
        <f t="shared" si="3"/>
        <v>40801.818800000001</v>
      </c>
      <c r="R27" s="2"/>
      <c r="S27" s="2"/>
      <c r="T27" s="2"/>
    </row>
    <row r="28" spans="1:21" x14ac:dyDescent="0.2">
      <c r="A28" s="43" t="s">
        <v>69</v>
      </c>
      <c r="B28" s="47" t="s">
        <v>43</v>
      </c>
      <c r="C28" s="44">
        <v>55827.319300000003</v>
      </c>
      <c r="D28" s="44" t="s">
        <v>54</v>
      </c>
      <c r="E28">
        <f t="shared" si="0"/>
        <v>26279.329127162386</v>
      </c>
      <c r="F28" s="50">
        <f t="shared" si="4"/>
        <v>26276</v>
      </c>
      <c r="G28">
        <f t="shared" si="1"/>
        <v>1.9417800000082934</v>
      </c>
      <c r="I28">
        <f>+G28</f>
        <v>1.9417800000082934</v>
      </c>
      <c r="O28">
        <f t="shared" ca="1" si="2"/>
        <v>1.9418418068740162</v>
      </c>
      <c r="Q28" s="2">
        <f t="shared" si="3"/>
        <v>40808.819300000003</v>
      </c>
      <c r="R28" s="2"/>
      <c r="S28" s="2"/>
      <c r="T28" s="2"/>
    </row>
    <row r="29" spans="1:21" x14ac:dyDescent="0.2">
      <c r="A29" s="43" t="s">
        <v>69</v>
      </c>
      <c r="B29" s="47" t="s">
        <v>43</v>
      </c>
      <c r="C29" s="44">
        <v>55827.319300000003</v>
      </c>
      <c r="D29" s="44" t="s">
        <v>54</v>
      </c>
      <c r="E29">
        <f t="shared" si="0"/>
        <v>26279.329127162386</v>
      </c>
      <c r="F29" s="50">
        <f t="shared" si="4"/>
        <v>26276</v>
      </c>
      <c r="G29">
        <f t="shared" si="1"/>
        <v>1.9417800000082934</v>
      </c>
      <c r="I29">
        <f>+G29</f>
        <v>1.9417800000082934</v>
      </c>
      <c r="O29">
        <f t="shared" ca="1" si="2"/>
        <v>1.9418418068740162</v>
      </c>
      <c r="Q29" s="2">
        <f t="shared" si="3"/>
        <v>40808.819300000003</v>
      </c>
      <c r="R29" s="2"/>
      <c r="S29" s="2"/>
      <c r="T29" s="2"/>
    </row>
    <row r="30" spans="1:21" x14ac:dyDescent="0.2">
      <c r="A30" s="43" t="s">
        <v>69</v>
      </c>
      <c r="B30" s="47" t="s">
        <v>43</v>
      </c>
      <c r="C30" s="44">
        <v>55831.402399999999</v>
      </c>
      <c r="D30" s="44" t="s">
        <v>54</v>
      </c>
      <c r="E30">
        <f t="shared" si="0"/>
        <v>26286.329487201467</v>
      </c>
      <c r="F30" s="50">
        <f t="shared" si="4"/>
        <v>26283</v>
      </c>
      <c r="G30">
        <f t="shared" si="1"/>
        <v>1.9419899999993504</v>
      </c>
      <c r="I30">
        <f>+G30</f>
        <v>1.9419899999993504</v>
      </c>
      <c r="O30">
        <f t="shared" ca="1" si="2"/>
        <v>1.9423928696884727</v>
      </c>
      <c r="Q30" s="2">
        <f t="shared" si="3"/>
        <v>40812.902399999999</v>
      </c>
      <c r="R30" s="2"/>
      <c r="S30" s="2"/>
      <c r="T30" s="2"/>
    </row>
    <row r="31" spans="1:21" x14ac:dyDescent="0.2">
      <c r="A31" s="43" t="s">
        <v>69</v>
      </c>
      <c r="B31" s="47" t="s">
        <v>43</v>
      </c>
      <c r="C31" s="44">
        <v>55831.403100000003</v>
      </c>
      <c r="D31" s="44" t="s">
        <v>54</v>
      </c>
      <c r="E31">
        <f t="shared" si="0"/>
        <v>26286.330687331774</v>
      </c>
      <c r="F31" s="50">
        <f t="shared" si="4"/>
        <v>26283</v>
      </c>
      <c r="G31">
        <f t="shared" si="1"/>
        <v>1.9426900000034948</v>
      </c>
      <c r="I31">
        <f>+G31</f>
        <v>1.9426900000034948</v>
      </c>
      <c r="O31">
        <f t="shared" ca="1" si="2"/>
        <v>1.9423928696884727</v>
      </c>
      <c r="Q31" s="2">
        <f t="shared" si="3"/>
        <v>40812.903100000003</v>
      </c>
      <c r="R31" s="2"/>
      <c r="S31" s="2"/>
      <c r="T31" s="2"/>
    </row>
    <row r="32" spans="1:21" x14ac:dyDescent="0.2">
      <c r="A32" s="43" t="s">
        <v>69</v>
      </c>
      <c r="B32" s="47" t="s">
        <v>43</v>
      </c>
      <c r="C32" s="44">
        <v>55831.4041</v>
      </c>
      <c r="D32" s="44" t="s">
        <v>54</v>
      </c>
      <c r="E32">
        <f t="shared" si="0"/>
        <v>26286.332401803626</v>
      </c>
      <c r="F32" s="50">
        <f t="shared" si="4"/>
        <v>26283</v>
      </c>
      <c r="G32">
        <f t="shared" si="1"/>
        <v>1.9436900000000605</v>
      </c>
      <c r="I32">
        <f>+G32</f>
        <v>1.9436900000000605</v>
      </c>
      <c r="O32">
        <f t="shared" ca="1" si="2"/>
        <v>1.9423928696884727</v>
      </c>
      <c r="Q32" s="2">
        <f t="shared" si="3"/>
        <v>40812.9041</v>
      </c>
      <c r="R32" s="2"/>
      <c r="S32" s="2"/>
      <c r="T32" s="2"/>
    </row>
    <row r="33" spans="1:20" x14ac:dyDescent="0.2">
      <c r="A33" s="43" t="s">
        <v>69</v>
      </c>
      <c r="B33" s="47" t="s">
        <v>43</v>
      </c>
      <c r="C33" s="44">
        <v>55834.319300000003</v>
      </c>
      <c r="D33" s="44" t="s">
        <v>54</v>
      </c>
      <c r="E33">
        <f t="shared" si="0"/>
        <v>26291.330430160997</v>
      </c>
      <c r="F33" s="50">
        <f t="shared" si="4"/>
        <v>26288</v>
      </c>
      <c r="G33">
        <f t="shared" si="1"/>
        <v>1.9425400000036461</v>
      </c>
      <c r="I33">
        <f>+G33</f>
        <v>1.9425400000036461</v>
      </c>
      <c r="O33">
        <f t="shared" ca="1" si="2"/>
        <v>1.942786485984513</v>
      </c>
      <c r="Q33" s="2">
        <f t="shared" si="3"/>
        <v>40815.819300000003</v>
      </c>
      <c r="R33" s="2"/>
      <c r="S33" s="2"/>
      <c r="T33" s="2"/>
    </row>
    <row r="34" spans="1:20" x14ac:dyDescent="0.2">
      <c r="A34" s="43" t="s">
        <v>69</v>
      </c>
      <c r="B34" s="47" t="s">
        <v>43</v>
      </c>
      <c r="C34" s="44">
        <v>55834.319499999998</v>
      </c>
      <c r="D34" s="44" t="s">
        <v>54</v>
      </c>
      <c r="E34">
        <f t="shared" si="0"/>
        <v>26291.330773055357</v>
      </c>
      <c r="F34" s="50">
        <f t="shared" si="4"/>
        <v>26288</v>
      </c>
      <c r="G34">
        <f t="shared" si="1"/>
        <v>1.9427399999985937</v>
      </c>
      <c r="I34">
        <f>+G34</f>
        <v>1.9427399999985937</v>
      </c>
      <c r="O34">
        <f t="shared" ca="1" si="2"/>
        <v>1.942786485984513</v>
      </c>
      <c r="Q34" s="2">
        <f t="shared" si="3"/>
        <v>40815.819499999998</v>
      </c>
      <c r="R34" s="2"/>
      <c r="S34" s="2"/>
      <c r="T34" s="2"/>
    </row>
    <row r="35" spans="1:20" x14ac:dyDescent="0.2">
      <c r="A35" s="51" t="s">
        <v>42</v>
      </c>
      <c r="B35" s="52" t="s">
        <v>43</v>
      </c>
      <c r="C35" s="53">
        <v>55834.3197</v>
      </c>
      <c r="D35" s="53">
        <v>2.9999999999999997E-4</v>
      </c>
      <c r="E35">
        <f t="shared" si="0"/>
        <v>26291.331115949735</v>
      </c>
      <c r="F35" s="50">
        <f t="shared" si="4"/>
        <v>26288</v>
      </c>
      <c r="G35">
        <f t="shared" si="1"/>
        <v>1.9429400000008172</v>
      </c>
      <c r="K35">
        <f t="shared" ref="K24:K40" si="5">+G35</f>
        <v>1.9429400000008172</v>
      </c>
      <c r="O35">
        <f t="shared" ca="1" si="2"/>
        <v>1.942786485984513</v>
      </c>
      <c r="Q35" s="2">
        <f t="shared" si="3"/>
        <v>40815.8197</v>
      </c>
      <c r="R35" s="2"/>
      <c r="S35" s="2"/>
      <c r="T35" s="2"/>
    </row>
    <row r="36" spans="1:20" x14ac:dyDescent="0.2">
      <c r="A36" s="43" t="s">
        <v>69</v>
      </c>
      <c r="B36" s="47" t="s">
        <v>43</v>
      </c>
      <c r="C36" s="44">
        <v>55834.319799999997</v>
      </c>
      <c r="D36" s="44" t="s">
        <v>54</v>
      </c>
      <c r="E36">
        <f t="shared" si="0"/>
        <v>26291.331287396915</v>
      </c>
      <c r="F36" s="50">
        <f t="shared" si="4"/>
        <v>26288</v>
      </c>
      <c r="G36">
        <f t="shared" si="1"/>
        <v>1.943039999998291</v>
      </c>
      <c r="I36">
        <f>+G36</f>
        <v>1.943039999998291</v>
      </c>
      <c r="O36">
        <f t="shared" ca="1" si="2"/>
        <v>1.942786485984513</v>
      </c>
      <c r="Q36" s="2">
        <f t="shared" si="3"/>
        <v>40815.819799999997</v>
      </c>
      <c r="R36" s="2"/>
      <c r="S36" s="2"/>
      <c r="T36" s="2"/>
    </row>
    <row r="37" spans="1:20" x14ac:dyDescent="0.2">
      <c r="A37" s="43" t="s">
        <v>69</v>
      </c>
      <c r="B37" s="47" t="s">
        <v>43</v>
      </c>
      <c r="C37" s="44">
        <v>55838.402999999998</v>
      </c>
      <c r="D37" s="44" t="s">
        <v>54</v>
      </c>
      <c r="E37">
        <f t="shared" si="0"/>
        <v>26298.331818883191</v>
      </c>
      <c r="F37" s="50">
        <f t="shared" si="4"/>
        <v>26295</v>
      </c>
      <c r="G37">
        <f t="shared" si="1"/>
        <v>1.9433500000013737</v>
      </c>
      <c r="I37">
        <f>+G37</f>
        <v>1.9433500000013737</v>
      </c>
      <c r="O37">
        <f t="shared" ca="1" si="2"/>
        <v>1.9433375487989699</v>
      </c>
      <c r="Q37" s="2">
        <f t="shared" si="3"/>
        <v>40819.902999999998</v>
      </c>
      <c r="R37" s="2"/>
      <c r="S37" s="2"/>
      <c r="T37" s="2"/>
    </row>
    <row r="38" spans="1:20" x14ac:dyDescent="0.2">
      <c r="A38" s="43" t="s">
        <v>69</v>
      </c>
      <c r="B38" s="47" t="s">
        <v>43</v>
      </c>
      <c r="C38" s="44">
        <v>55838.403299999998</v>
      </c>
      <c r="D38" s="44" t="s">
        <v>54</v>
      </c>
      <c r="E38">
        <f t="shared" si="0"/>
        <v>26298.332333224749</v>
      </c>
      <c r="F38" s="50">
        <f t="shared" si="4"/>
        <v>26295</v>
      </c>
      <c r="G38">
        <f t="shared" si="1"/>
        <v>1.943650000001071</v>
      </c>
      <c r="I38">
        <f>+G38</f>
        <v>1.943650000001071</v>
      </c>
      <c r="O38">
        <f t="shared" ca="1" si="2"/>
        <v>1.9433375487989699</v>
      </c>
      <c r="Q38" s="2">
        <f t="shared" si="3"/>
        <v>40819.903299999998</v>
      </c>
      <c r="R38" s="2"/>
      <c r="S38" s="2"/>
      <c r="T38" s="2"/>
    </row>
    <row r="39" spans="1:20" x14ac:dyDescent="0.2">
      <c r="A39" s="43" t="s">
        <v>110</v>
      </c>
      <c r="B39" s="47" t="s">
        <v>120</v>
      </c>
      <c r="C39" s="44">
        <v>56186.3701</v>
      </c>
      <c r="D39" s="44" t="s">
        <v>54</v>
      </c>
      <c r="E39">
        <f t="shared" si="0"/>
        <v>26894.911618975777</v>
      </c>
      <c r="F39" s="50">
        <f t="shared" si="4"/>
        <v>26891.5</v>
      </c>
      <c r="G39">
        <f t="shared" si="1"/>
        <v>1.9898949999987963</v>
      </c>
      <c r="I39">
        <f>+G39</f>
        <v>1.9898949999987963</v>
      </c>
      <c r="O39">
        <f t="shared" ca="1" si="2"/>
        <v>1.9902959729165945</v>
      </c>
      <c r="Q39" s="2">
        <f t="shared" si="3"/>
        <v>41167.8701</v>
      </c>
      <c r="R39" s="2"/>
      <c r="S39" s="2"/>
      <c r="T39" s="2"/>
    </row>
    <row r="40" spans="1:20" x14ac:dyDescent="0.2">
      <c r="A40" s="43" t="s">
        <v>110</v>
      </c>
      <c r="B40" s="47" t="s">
        <v>120</v>
      </c>
      <c r="C40" s="44">
        <v>56186.370499999997</v>
      </c>
      <c r="D40" s="44" t="s">
        <v>54</v>
      </c>
      <c r="E40">
        <f t="shared" si="0"/>
        <v>26894.912304764515</v>
      </c>
      <c r="F40" s="50">
        <f t="shared" si="4"/>
        <v>26891.5</v>
      </c>
      <c r="G40">
        <f t="shared" si="1"/>
        <v>1.9902949999959674</v>
      </c>
      <c r="I40">
        <f>+G40</f>
        <v>1.9902949999959674</v>
      </c>
      <c r="O40">
        <f t="shared" ca="1" si="2"/>
        <v>1.9902959729165945</v>
      </c>
      <c r="Q40" s="2">
        <f t="shared" si="3"/>
        <v>41167.870499999997</v>
      </c>
      <c r="R40" s="2"/>
      <c r="S40" s="2"/>
      <c r="T40" s="2"/>
    </row>
    <row r="41" spans="1:20" x14ac:dyDescent="0.2">
      <c r="A41" s="55" t="s">
        <v>121</v>
      </c>
      <c r="B41" s="56"/>
      <c r="C41" s="57">
        <v>57207.521399999998</v>
      </c>
      <c r="D41" s="57">
        <v>1.5E-3</v>
      </c>
      <c r="E41">
        <f t="shared" si="0"/>
        <v>28645.64678450803</v>
      </c>
      <c r="F41" s="50">
        <f t="shared" si="4"/>
        <v>28642</v>
      </c>
      <c r="G41">
        <f t="shared" si="1"/>
        <v>2.1270599999988917</v>
      </c>
      <c r="J41">
        <f>+G41</f>
        <v>2.1270599999988917</v>
      </c>
      <c r="O41">
        <f t="shared" ca="1" si="2"/>
        <v>2.128101038160354</v>
      </c>
      <c r="Q41" s="2">
        <f t="shared" si="3"/>
        <v>42189.021399999998</v>
      </c>
      <c r="R41" s="2"/>
      <c r="S41" s="2"/>
      <c r="T41" s="2"/>
    </row>
    <row r="42" spans="1:20" x14ac:dyDescent="0.2">
      <c r="A42" s="58" t="s">
        <v>122</v>
      </c>
      <c r="B42" s="59" t="s">
        <v>120</v>
      </c>
      <c r="C42" s="60">
        <v>57590.492059999997</v>
      </c>
      <c r="D42" s="60">
        <v>2.0000000000000001E-4</v>
      </c>
      <c r="E42">
        <f t="shared" si="0"/>
        <v>29302.239203113477</v>
      </c>
      <c r="F42" s="50">
        <f t="shared" si="4"/>
        <v>29298.5</v>
      </c>
      <c r="G42">
        <f t="shared" si="1"/>
        <v>2.18096499999956</v>
      </c>
      <c r="K42">
        <f>+G42</f>
        <v>2.18096499999956</v>
      </c>
      <c r="O42">
        <f t="shared" ca="1" si="2"/>
        <v>2.1797828578304639</v>
      </c>
      <c r="Q42" s="2">
        <f t="shared" si="3"/>
        <v>42571.992059999997</v>
      </c>
    </row>
    <row r="43" spans="1:20" x14ac:dyDescent="0.2">
      <c r="A43" s="58" t="s">
        <v>122</v>
      </c>
      <c r="B43" s="59" t="s">
        <v>120</v>
      </c>
      <c r="C43" s="60">
        <v>57615.573640000002</v>
      </c>
      <c r="D43" s="60">
        <v>2.9999999999999997E-4</v>
      </c>
      <c r="E43">
        <f t="shared" si="0"/>
        <v>29345.240866151187</v>
      </c>
      <c r="F43" s="50">
        <f t="shared" si="4"/>
        <v>29341.5</v>
      </c>
      <c r="G43">
        <f t="shared" si="1"/>
        <v>2.1819350000005215</v>
      </c>
      <c r="K43">
        <f>+G43</f>
        <v>2.1819350000005215</v>
      </c>
      <c r="O43">
        <f t="shared" ca="1" si="2"/>
        <v>2.1831679579764121</v>
      </c>
      <c r="Q43" s="2">
        <f t="shared" si="3"/>
        <v>42597.073640000002</v>
      </c>
    </row>
    <row r="44" spans="1:20" x14ac:dyDescent="0.2">
      <c r="A44" s="58" t="s">
        <v>122</v>
      </c>
      <c r="B44" s="59" t="s">
        <v>120</v>
      </c>
      <c r="C44" s="60">
        <v>57632.492749999998</v>
      </c>
      <c r="D44" s="60">
        <v>1E-4</v>
      </c>
      <c r="E44">
        <f t="shared" si="0"/>
        <v>29374.248204090727</v>
      </c>
      <c r="F44" s="50">
        <f t="shared" si="4"/>
        <v>29370.5</v>
      </c>
      <c r="G44">
        <f t="shared" si="1"/>
        <v>2.186215000001539</v>
      </c>
      <c r="K44">
        <f>+G44</f>
        <v>2.186215000001539</v>
      </c>
      <c r="O44">
        <f t="shared" ca="1" si="2"/>
        <v>2.1854509324934464</v>
      </c>
      <c r="Q44" s="2">
        <f t="shared" si="3"/>
        <v>42613.992749999998</v>
      </c>
    </row>
    <row r="45" spans="1:20" x14ac:dyDescent="0.2">
      <c r="A45" s="54" t="s">
        <v>0</v>
      </c>
      <c r="B45" s="66" t="s">
        <v>43</v>
      </c>
      <c r="C45" s="61">
        <v>57980.459600000002</v>
      </c>
      <c r="D45" s="61">
        <v>8.9999999999999998E-4</v>
      </c>
      <c r="E45">
        <f t="shared" si="0"/>
        <v>29970.827575565352</v>
      </c>
      <c r="F45" s="62">
        <f>ROUND(2*E45,0)/2-4</f>
        <v>29967</v>
      </c>
      <c r="G45">
        <f t="shared" si="1"/>
        <v>2.2325100000016391</v>
      </c>
      <c r="K45">
        <f>+G45</f>
        <v>2.2325100000016391</v>
      </c>
      <c r="O45">
        <f t="shared" ca="1" si="2"/>
        <v>2.2324093566110714</v>
      </c>
      <c r="Q45" s="2">
        <f t="shared" si="3"/>
        <v>42961.959600000002</v>
      </c>
    </row>
    <row r="46" spans="1:20" x14ac:dyDescent="0.2">
      <c r="A46" s="63" t="s">
        <v>123</v>
      </c>
      <c r="B46" s="64" t="s">
        <v>120</v>
      </c>
      <c r="C46" s="65">
        <v>58027.419110000134</v>
      </c>
      <c r="D46" s="65">
        <v>2.0000000000000001E-4</v>
      </c>
      <c r="E46">
        <f>+(C46-C$7)/C$8</f>
        <v>30051.33833387648</v>
      </c>
      <c r="F46" s="62">
        <f>ROUND(2*E46,0)/2-4</f>
        <v>30047.5</v>
      </c>
      <c r="G46">
        <f>+C46-(C$7+F46*C$8)</f>
        <v>2.2387850001396146</v>
      </c>
      <c r="K46">
        <f>+G46</f>
        <v>2.2387850001396146</v>
      </c>
      <c r="O46">
        <f ca="1">+C$11+C$12*$F46</f>
        <v>2.2387465789773224</v>
      </c>
      <c r="Q46" s="2">
        <f>+C46-15018.5</f>
        <v>43008.919110000134</v>
      </c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6:D46" name="Range1"/>
  </protectedRanges>
  <phoneticPr fontId="8" type="noConversion"/>
  <hyperlinks>
    <hyperlink ref="H784" r:id="rId1" display="http://vsolj.cetus-net.org/bulletin.html" xr:uid="{00000000-0004-0000-0100-000000000000}"/>
    <hyperlink ref="H64539" r:id="rId2" display="http://vsolj.cetus-net.org/bulletin.html" xr:uid="{00000000-0004-0000-0100-000001000000}"/>
    <hyperlink ref="H64532" r:id="rId3" display="https://www.aavso.org/ejaavso" xr:uid="{00000000-0004-0000-0100-000002000000}"/>
    <hyperlink ref="AP683" r:id="rId4" display="http://cdsbib.u-strasbg.fr/cgi-bin/cdsbib?1990RMxAA..21..381G" xr:uid="{00000000-0004-0000-0100-000003000000}"/>
    <hyperlink ref="AP687" r:id="rId5" display="http://cdsbib.u-strasbg.fr/cgi-bin/cdsbib?1990RMxAA..21..381G" xr:uid="{00000000-0004-0000-0100-000004000000}"/>
    <hyperlink ref="AP686" r:id="rId6" display="http://cdsbib.u-strasbg.fr/cgi-bin/cdsbib?1990RMxAA..21..381G" xr:uid="{00000000-0004-0000-0100-000005000000}"/>
    <hyperlink ref="AP667" r:id="rId7" display="http://cdsbib.u-strasbg.fr/cgi-bin/cdsbib?1990RMxAA..21..381G" xr:uid="{00000000-0004-0000-0100-000006000000}"/>
    <hyperlink ref="I64539" r:id="rId8" display="http://vsolj.cetus-net.org/bulletin.html" xr:uid="{00000000-0004-0000-0100-000007000000}"/>
    <hyperlink ref="AQ823" r:id="rId9" display="http://cdsbib.u-strasbg.fr/cgi-bin/cdsbib?1990RMxAA..21..381G" xr:uid="{00000000-0004-0000-0100-000008000000}"/>
    <hyperlink ref="AQ55589" r:id="rId10" display="http://cdsbib.u-strasbg.fr/cgi-bin/cdsbib?1990RMxAA..21..381G" xr:uid="{00000000-0004-0000-0100-000009000000}"/>
    <hyperlink ref="AQ824" r:id="rId11" display="http://cdsbib.u-strasbg.fr/cgi-bin/cdsbib?1990RMxAA..21..381G" xr:uid="{00000000-0004-0000-0100-00000A000000}"/>
    <hyperlink ref="H64536" r:id="rId12" display="https://www.aavso.org/ejaavso" xr:uid="{00000000-0004-0000-0100-00000B000000}"/>
    <hyperlink ref="H1709" r:id="rId13" display="http://vsolj.cetus-net.org/bulletin.html" xr:uid="{00000000-0004-0000-0100-00000C000000}"/>
    <hyperlink ref="AP2953" r:id="rId14" display="http://cdsbib.u-strasbg.fr/cgi-bin/cdsbib?1990RMxAA..21..381G" xr:uid="{00000000-0004-0000-0100-00000D000000}"/>
    <hyperlink ref="AP2956" r:id="rId15" display="http://cdsbib.u-strasbg.fr/cgi-bin/cdsbib?1990RMxAA..21..381G" xr:uid="{00000000-0004-0000-0100-00000E000000}"/>
    <hyperlink ref="AP2954" r:id="rId16" display="http://cdsbib.u-strasbg.fr/cgi-bin/cdsbib?1990RMxAA..21..381G" xr:uid="{00000000-0004-0000-0100-00000F000000}"/>
    <hyperlink ref="AP2938" r:id="rId17" display="http://cdsbib.u-strasbg.fr/cgi-bin/cdsbib?1990RMxAA..21..381G" xr:uid="{00000000-0004-0000-0100-000010000000}"/>
    <hyperlink ref="I1709" r:id="rId18" display="http://vsolj.cetus-net.org/bulletin.html" xr:uid="{00000000-0004-0000-0100-000011000000}"/>
    <hyperlink ref="AQ3167" r:id="rId19" display="http://cdsbib.u-strasbg.fr/cgi-bin/cdsbib?1990RMxAA..21..381G" xr:uid="{00000000-0004-0000-0100-000012000000}"/>
    <hyperlink ref="AQ65404" r:id="rId20" display="http://cdsbib.u-strasbg.fr/cgi-bin/cdsbib?1990RMxAA..21..381G" xr:uid="{00000000-0004-0000-0100-000013000000}"/>
    <hyperlink ref="AQ3171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37"/>
  <sheetViews>
    <sheetView topLeftCell="A7" workbookViewId="0">
      <selection activeCell="A12" sqref="A12:D3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44</v>
      </c>
      <c r="I1" s="31" t="s">
        <v>45</v>
      </c>
      <c r="J1" s="32" t="s">
        <v>46</v>
      </c>
    </row>
    <row r="2" spans="1:16" x14ac:dyDescent="0.2">
      <c r="I2" s="33" t="s">
        <v>47</v>
      </c>
      <c r="J2" s="34" t="s">
        <v>48</v>
      </c>
    </row>
    <row r="3" spans="1:16" x14ac:dyDescent="0.2">
      <c r="A3" s="35" t="s">
        <v>49</v>
      </c>
      <c r="I3" s="33" t="s">
        <v>50</v>
      </c>
      <c r="J3" s="34" t="s">
        <v>51</v>
      </c>
    </row>
    <row r="4" spans="1:16" x14ac:dyDescent="0.2">
      <c r="I4" s="33" t="s">
        <v>52</v>
      </c>
      <c r="J4" s="34" t="s">
        <v>51</v>
      </c>
    </row>
    <row r="5" spans="1:16" ht="13.5" thickBot="1" x14ac:dyDescent="0.25">
      <c r="I5" s="36" t="s">
        <v>53</v>
      </c>
      <c r="J5" s="37" t="s">
        <v>54</v>
      </c>
    </row>
    <row r="10" spans="1:16" ht="13.5" thickBot="1" x14ac:dyDescent="0.25"/>
    <row r="11" spans="1:16" ht="12.75" customHeight="1" thickBot="1" x14ac:dyDescent="0.25">
      <c r="A11" s="8" t="str">
        <f t="shared" ref="A11:A30" si="0">P11</f>
        <v>IBVS 6033 </v>
      </c>
      <c r="B11" s="3" t="str">
        <f t="shared" ref="B11:B30" si="1">IF(H11=INT(H11),"I","II")</f>
        <v>I</v>
      </c>
      <c r="C11" s="8">
        <f t="shared" ref="C11:C30" si="2">1*G11</f>
        <v>55834.3197</v>
      </c>
      <c r="D11" s="10" t="str">
        <f t="shared" ref="D11:D30" si="3">VLOOKUP(F11,I$1:J$5,2,FALSE)</f>
        <v>vis</v>
      </c>
      <c r="E11" s="38">
        <f>VLOOKUP(C11,'Active 1'!C$21:E$973,3,FALSE)</f>
        <v>26287.78323157506</v>
      </c>
      <c r="F11" s="3" t="s">
        <v>53</v>
      </c>
      <c r="G11" s="10" t="str">
        <f t="shared" ref="G11:G30" si="4">MID(I11,3,LEN(I11)-3)</f>
        <v>55834.3197</v>
      </c>
      <c r="H11" s="8">
        <f t="shared" ref="H11:H30" si="5">1*K11</f>
        <v>5715</v>
      </c>
      <c r="I11" s="39" t="s">
        <v>98</v>
      </c>
      <c r="J11" s="40" t="s">
        <v>96</v>
      </c>
      <c r="K11" s="39">
        <v>5715</v>
      </c>
      <c r="L11" s="39" t="s">
        <v>99</v>
      </c>
      <c r="M11" s="40" t="s">
        <v>67</v>
      </c>
      <c r="N11" s="40" t="s">
        <v>100</v>
      </c>
      <c r="O11" s="41" t="s">
        <v>101</v>
      </c>
      <c r="P11" s="42" t="s">
        <v>102</v>
      </c>
    </row>
    <row r="12" spans="1:16" ht="12.75" customHeight="1" thickBot="1" x14ac:dyDescent="0.25">
      <c r="A12" s="8" t="str">
        <f t="shared" si="0"/>
        <v> MVS 5.102 </v>
      </c>
      <c r="B12" s="3" t="str">
        <f t="shared" si="1"/>
        <v>I</v>
      </c>
      <c r="C12" s="8">
        <f t="shared" si="2"/>
        <v>40499.360000000001</v>
      </c>
      <c r="D12" s="10" t="str">
        <f t="shared" si="3"/>
        <v>vis</v>
      </c>
      <c r="E12" s="38">
        <f>VLOOKUP(C12,'Active 1'!C$21:E$973,3,FALSE)</f>
        <v>-2.5713607461416172E-2</v>
      </c>
      <c r="F12" s="3" t="s">
        <v>53</v>
      </c>
      <c r="G12" s="10" t="str">
        <f t="shared" si="4"/>
        <v>40499.36</v>
      </c>
      <c r="H12" s="8">
        <f t="shared" si="5"/>
        <v>-20573</v>
      </c>
      <c r="I12" s="39" t="s">
        <v>55</v>
      </c>
      <c r="J12" s="40" t="s">
        <v>56</v>
      </c>
      <c r="K12" s="39">
        <v>-20573</v>
      </c>
      <c r="L12" s="39" t="s">
        <v>57</v>
      </c>
      <c r="M12" s="40" t="s">
        <v>58</v>
      </c>
      <c r="N12" s="40"/>
      <c r="O12" s="41" t="s">
        <v>59</v>
      </c>
      <c r="P12" s="41" t="s">
        <v>60</v>
      </c>
    </row>
    <row r="13" spans="1:16" ht="12.75" customHeight="1" thickBot="1" x14ac:dyDescent="0.25">
      <c r="A13" s="8" t="str">
        <f t="shared" si="0"/>
        <v> MVS 5.102 </v>
      </c>
      <c r="B13" s="3" t="str">
        <f t="shared" si="1"/>
        <v>I</v>
      </c>
      <c r="C13" s="8">
        <f t="shared" si="2"/>
        <v>40499.39</v>
      </c>
      <c r="D13" s="10" t="str">
        <f t="shared" si="3"/>
        <v>vis</v>
      </c>
      <c r="E13" s="38">
        <f>VLOOKUP(C13,'Active 1'!C$21:E$973,3,FALSE)</f>
        <v>2.5713607461416172E-2</v>
      </c>
      <c r="F13" s="3" t="s">
        <v>53</v>
      </c>
      <c r="G13" s="10" t="str">
        <f t="shared" si="4"/>
        <v>40499.39</v>
      </c>
      <c r="H13" s="8">
        <f t="shared" si="5"/>
        <v>-20573</v>
      </c>
      <c r="I13" s="39" t="s">
        <v>61</v>
      </c>
      <c r="J13" s="40" t="s">
        <v>62</v>
      </c>
      <c r="K13" s="39">
        <v>-20573</v>
      </c>
      <c r="L13" s="39" t="s">
        <v>63</v>
      </c>
      <c r="M13" s="40" t="s">
        <v>58</v>
      </c>
      <c r="N13" s="40"/>
      <c r="O13" s="41" t="s">
        <v>59</v>
      </c>
      <c r="P13" s="41" t="s">
        <v>60</v>
      </c>
    </row>
    <row r="14" spans="1:16" ht="12.75" customHeight="1" thickBot="1" x14ac:dyDescent="0.25">
      <c r="A14" s="8" t="str">
        <f t="shared" si="0"/>
        <v>VSB 53 </v>
      </c>
      <c r="B14" s="3" t="str">
        <f t="shared" si="1"/>
        <v>I</v>
      </c>
      <c r="C14" s="8">
        <f t="shared" si="2"/>
        <v>55810.401100000003</v>
      </c>
      <c r="D14" s="10" t="str">
        <f t="shared" si="3"/>
        <v>vis</v>
      </c>
      <c r="E14" s="38">
        <f>VLOOKUP(C14,'Active 1'!C$21:E$973,3,FALSE)</f>
        <v>26246.780998811701</v>
      </c>
      <c r="F14" s="3" t="s">
        <v>53</v>
      </c>
      <c r="G14" s="10" t="str">
        <f t="shared" si="4"/>
        <v>55810.4011</v>
      </c>
      <c r="H14" s="8">
        <f t="shared" si="5"/>
        <v>5674</v>
      </c>
      <c r="I14" s="39" t="s">
        <v>64</v>
      </c>
      <c r="J14" s="40" t="s">
        <v>65</v>
      </c>
      <c r="K14" s="39">
        <v>5674</v>
      </c>
      <c r="L14" s="39" t="s">
        <v>66</v>
      </c>
      <c r="M14" s="40" t="s">
        <v>67</v>
      </c>
      <c r="N14" s="40" t="s">
        <v>53</v>
      </c>
      <c r="O14" s="41" t="s">
        <v>68</v>
      </c>
      <c r="P14" s="42" t="s">
        <v>69</v>
      </c>
    </row>
    <row r="15" spans="1:16" ht="12.75" customHeight="1" thickBot="1" x14ac:dyDescent="0.25">
      <c r="A15" s="8" t="str">
        <f t="shared" si="0"/>
        <v>VSB 53 </v>
      </c>
      <c r="B15" s="3" t="str">
        <f t="shared" si="1"/>
        <v>II</v>
      </c>
      <c r="C15" s="8">
        <f t="shared" si="2"/>
        <v>55815.361900000004</v>
      </c>
      <c r="D15" s="10" t="str">
        <f t="shared" si="3"/>
        <v>vis</v>
      </c>
      <c r="E15" s="38">
        <f>VLOOKUP(C15,'Active 1'!C$21:E$973,3,FALSE)</f>
        <v>26255.285003071669</v>
      </c>
      <c r="F15" s="3" t="s">
        <v>53</v>
      </c>
      <c r="G15" s="10" t="str">
        <f t="shared" si="4"/>
        <v>55815.3619</v>
      </c>
      <c r="H15" s="8">
        <f t="shared" si="5"/>
        <v>5682.5</v>
      </c>
      <c r="I15" s="39" t="s">
        <v>70</v>
      </c>
      <c r="J15" s="40" t="s">
        <v>71</v>
      </c>
      <c r="K15" s="39">
        <v>5682.5</v>
      </c>
      <c r="L15" s="39" t="s">
        <v>72</v>
      </c>
      <c r="M15" s="40" t="s">
        <v>67</v>
      </c>
      <c r="N15" s="40" t="s">
        <v>53</v>
      </c>
      <c r="O15" s="41" t="s">
        <v>68</v>
      </c>
      <c r="P15" s="42" t="s">
        <v>69</v>
      </c>
    </row>
    <row r="16" spans="1:16" ht="12.75" customHeight="1" thickBot="1" x14ac:dyDescent="0.25">
      <c r="A16" s="8" t="str">
        <f t="shared" si="0"/>
        <v>VSB 53 </v>
      </c>
      <c r="B16" s="3" t="str">
        <f t="shared" si="1"/>
        <v>I</v>
      </c>
      <c r="C16" s="8">
        <f t="shared" si="2"/>
        <v>55820.318599999999</v>
      </c>
      <c r="D16" s="10" t="str">
        <f t="shared" si="3"/>
        <v>vis</v>
      </c>
      <c r="E16" s="38">
        <f>VLOOKUP(C16,'Active 1'!C$21:E$973,3,FALSE)</f>
        <v>26263.78197894559</v>
      </c>
      <c r="F16" s="3" t="s">
        <v>53</v>
      </c>
      <c r="G16" s="10" t="str">
        <f t="shared" si="4"/>
        <v>55820.3186</v>
      </c>
      <c r="H16" s="8">
        <f t="shared" si="5"/>
        <v>5691</v>
      </c>
      <c r="I16" s="39" t="s">
        <v>73</v>
      </c>
      <c r="J16" s="40" t="s">
        <v>74</v>
      </c>
      <c r="K16" s="39">
        <v>5691</v>
      </c>
      <c r="L16" s="39" t="s">
        <v>75</v>
      </c>
      <c r="M16" s="40" t="s">
        <v>67</v>
      </c>
      <c r="N16" s="40" t="s">
        <v>76</v>
      </c>
      <c r="O16" s="41" t="s">
        <v>68</v>
      </c>
      <c r="P16" s="42" t="s">
        <v>69</v>
      </c>
    </row>
    <row r="17" spans="1:16" ht="12.75" customHeight="1" thickBot="1" x14ac:dyDescent="0.25">
      <c r="A17" s="8" t="str">
        <f t="shared" si="0"/>
        <v>VSB 53 </v>
      </c>
      <c r="B17" s="3" t="str">
        <f t="shared" si="1"/>
        <v>I</v>
      </c>
      <c r="C17" s="8">
        <f t="shared" si="2"/>
        <v>55820.318800000001</v>
      </c>
      <c r="D17" s="10" t="str">
        <f t="shared" si="3"/>
        <v>vis</v>
      </c>
      <c r="E17" s="38">
        <f>VLOOKUP(C17,'Active 1'!C$21:E$973,3,FALSE)</f>
        <v>26263.782321793693</v>
      </c>
      <c r="F17" s="3" t="s">
        <v>53</v>
      </c>
      <c r="G17" s="10" t="str">
        <f t="shared" si="4"/>
        <v>55820.3188</v>
      </c>
      <c r="H17" s="8">
        <f t="shared" si="5"/>
        <v>5691</v>
      </c>
      <c r="I17" s="39" t="s">
        <v>77</v>
      </c>
      <c r="J17" s="40" t="s">
        <v>78</v>
      </c>
      <c r="K17" s="39">
        <v>5691</v>
      </c>
      <c r="L17" s="39" t="s">
        <v>79</v>
      </c>
      <c r="M17" s="40" t="s">
        <v>67</v>
      </c>
      <c r="N17" s="40" t="s">
        <v>53</v>
      </c>
      <c r="O17" s="41" t="s">
        <v>68</v>
      </c>
      <c r="P17" s="42" t="s">
        <v>69</v>
      </c>
    </row>
    <row r="18" spans="1:16" ht="12.75" customHeight="1" thickBot="1" x14ac:dyDescent="0.25">
      <c r="A18" s="8" t="str">
        <f t="shared" si="0"/>
        <v>VSB 53 </v>
      </c>
      <c r="B18" s="3" t="str">
        <f t="shared" si="1"/>
        <v>I</v>
      </c>
      <c r="C18" s="8">
        <f t="shared" si="2"/>
        <v>55827.319300000003</v>
      </c>
      <c r="D18" s="10" t="str">
        <f t="shared" si="3"/>
        <v>vis</v>
      </c>
      <c r="E18" s="38">
        <f>VLOOKUP(C18,'Active 1'!C$21:E$973,3,FALSE)</f>
        <v>26275.782862396405</v>
      </c>
      <c r="F18" s="3" t="s">
        <v>53</v>
      </c>
      <c r="G18" s="10" t="str">
        <f t="shared" si="4"/>
        <v>55827.3193</v>
      </c>
      <c r="H18" s="8">
        <f t="shared" si="5"/>
        <v>5703</v>
      </c>
      <c r="I18" s="39" t="s">
        <v>80</v>
      </c>
      <c r="J18" s="40" t="s">
        <v>81</v>
      </c>
      <c r="K18" s="39">
        <v>5703</v>
      </c>
      <c r="L18" s="39" t="s">
        <v>82</v>
      </c>
      <c r="M18" s="40" t="s">
        <v>67</v>
      </c>
      <c r="N18" s="40" t="s">
        <v>53</v>
      </c>
      <c r="O18" s="41" t="s">
        <v>68</v>
      </c>
      <c r="P18" s="42" t="s">
        <v>69</v>
      </c>
    </row>
    <row r="19" spans="1:16" ht="12.75" customHeight="1" thickBot="1" x14ac:dyDescent="0.25">
      <c r="A19" s="8" t="str">
        <f t="shared" si="0"/>
        <v>VSB 53 </v>
      </c>
      <c r="B19" s="3" t="str">
        <f t="shared" si="1"/>
        <v>I</v>
      </c>
      <c r="C19" s="8">
        <f t="shared" si="2"/>
        <v>55827.319300000003</v>
      </c>
      <c r="D19" s="10" t="str">
        <f t="shared" si="3"/>
        <v>vis</v>
      </c>
      <c r="E19" s="38">
        <f>VLOOKUP(C19,'Active 1'!C$21:E$973,3,FALSE)</f>
        <v>26275.782862396405</v>
      </c>
      <c r="F19" s="3" t="s">
        <v>53</v>
      </c>
      <c r="G19" s="10" t="str">
        <f t="shared" si="4"/>
        <v>55827.3193</v>
      </c>
      <c r="H19" s="8">
        <f t="shared" si="5"/>
        <v>5703</v>
      </c>
      <c r="I19" s="39" t="s">
        <v>80</v>
      </c>
      <c r="J19" s="40" t="s">
        <v>81</v>
      </c>
      <c r="K19" s="39">
        <v>5703</v>
      </c>
      <c r="L19" s="39" t="s">
        <v>82</v>
      </c>
      <c r="M19" s="40" t="s">
        <v>67</v>
      </c>
      <c r="N19" s="40" t="s">
        <v>76</v>
      </c>
      <c r="O19" s="41" t="s">
        <v>68</v>
      </c>
      <c r="P19" s="42" t="s">
        <v>69</v>
      </c>
    </row>
    <row r="20" spans="1:16" ht="12.75" customHeight="1" thickBot="1" x14ac:dyDescent="0.25">
      <c r="A20" s="8" t="str">
        <f t="shared" si="0"/>
        <v>VSB 53 </v>
      </c>
      <c r="B20" s="3" t="str">
        <f t="shared" si="1"/>
        <v>I</v>
      </c>
      <c r="C20" s="8">
        <f t="shared" si="2"/>
        <v>55831.402399999999</v>
      </c>
      <c r="D20" s="10" t="str">
        <f t="shared" si="3"/>
        <v>vis</v>
      </c>
      <c r="E20" s="38">
        <f>VLOOKUP(C20,'Active 1'!C$21:E$973,3,FALSE)</f>
        <v>26282.782277771719</v>
      </c>
      <c r="F20" s="3" t="s">
        <v>53</v>
      </c>
      <c r="G20" s="10" t="str">
        <f t="shared" si="4"/>
        <v>55831.4024</v>
      </c>
      <c r="H20" s="8">
        <f t="shared" si="5"/>
        <v>5710</v>
      </c>
      <c r="I20" s="39" t="s">
        <v>83</v>
      </c>
      <c r="J20" s="40" t="s">
        <v>84</v>
      </c>
      <c r="K20" s="39">
        <v>5710</v>
      </c>
      <c r="L20" s="39" t="s">
        <v>79</v>
      </c>
      <c r="M20" s="40" t="s">
        <v>67</v>
      </c>
      <c r="N20" s="40" t="s">
        <v>53</v>
      </c>
      <c r="O20" s="41" t="s">
        <v>68</v>
      </c>
      <c r="P20" s="42" t="s">
        <v>69</v>
      </c>
    </row>
    <row r="21" spans="1:16" ht="12.75" customHeight="1" thickBot="1" x14ac:dyDescent="0.25">
      <c r="A21" s="8" t="str">
        <f t="shared" si="0"/>
        <v>VSB 53 </v>
      </c>
      <c r="B21" s="3" t="str">
        <f t="shared" si="1"/>
        <v>I</v>
      </c>
      <c r="C21" s="8">
        <f t="shared" si="2"/>
        <v>55831.403100000003</v>
      </c>
      <c r="D21" s="10" t="str">
        <f t="shared" si="3"/>
        <v>vis</v>
      </c>
      <c r="E21" s="38">
        <f>VLOOKUP(C21,'Active 1'!C$21:E$973,3,FALSE)</f>
        <v>26282.783477740075</v>
      </c>
      <c r="F21" s="3" t="s">
        <v>53</v>
      </c>
      <c r="G21" s="10" t="str">
        <f t="shared" si="4"/>
        <v>55831.4031</v>
      </c>
      <c r="H21" s="8">
        <f t="shared" si="5"/>
        <v>5710</v>
      </c>
      <c r="I21" s="39" t="s">
        <v>85</v>
      </c>
      <c r="J21" s="40" t="s">
        <v>86</v>
      </c>
      <c r="K21" s="39">
        <v>5710</v>
      </c>
      <c r="L21" s="39" t="s">
        <v>87</v>
      </c>
      <c r="M21" s="40" t="s">
        <v>67</v>
      </c>
      <c r="N21" s="40" t="s">
        <v>76</v>
      </c>
      <c r="O21" s="41" t="s">
        <v>68</v>
      </c>
      <c r="P21" s="42" t="s">
        <v>69</v>
      </c>
    </row>
    <row r="22" spans="1:16" ht="12.75" customHeight="1" thickBot="1" x14ac:dyDescent="0.25">
      <c r="A22" s="8" t="str">
        <f t="shared" si="0"/>
        <v>VSB 53 </v>
      </c>
      <c r="B22" s="3" t="str">
        <f t="shared" si="1"/>
        <v>I</v>
      </c>
      <c r="C22" s="8">
        <f t="shared" si="2"/>
        <v>55831.4041</v>
      </c>
      <c r="D22" s="10" t="str">
        <f t="shared" si="3"/>
        <v>vis</v>
      </c>
      <c r="E22" s="38">
        <f>VLOOKUP(C22,'Active 1'!C$21:E$973,3,FALSE)</f>
        <v>26282.785191980565</v>
      </c>
      <c r="F22" s="3" t="s">
        <v>53</v>
      </c>
      <c r="G22" s="10" t="str">
        <f t="shared" si="4"/>
        <v>55831.4041</v>
      </c>
      <c r="H22" s="8">
        <f t="shared" si="5"/>
        <v>5710</v>
      </c>
      <c r="I22" s="39" t="s">
        <v>88</v>
      </c>
      <c r="J22" s="40" t="s">
        <v>89</v>
      </c>
      <c r="K22" s="39">
        <v>5710</v>
      </c>
      <c r="L22" s="39" t="s">
        <v>90</v>
      </c>
      <c r="M22" s="40" t="s">
        <v>67</v>
      </c>
      <c r="N22" s="40" t="s">
        <v>91</v>
      </c>
      <c r="O22" s="41" t="s">
        <v>68</v>
      </c>
      <c r="P22" s="42" t="s">
        <v>69</v>
      </c>
    </row>
    <row r="23" spans="1:16" ht="12.75" customHeight="1" thickBot="1" x14ac:dyDescent="0.25">
      <c r="A23" s="8" t="str">
        <f t="shared" si="0"/>
        <v>VSB 53 </v>
      </c>
      <c r="B23" s="3" t="str">
        <f t="shared" si="1"/>
        <v>I</v>
      </c>
      <c r="C23" s="8">
        <f t="shared" si="2"/>
        <v>55834.319300000003</v>
      </c>
      <c r="D23" s="10" t="str">
        <f t="shared" si="3"/>
        <v>vis</v>
      </c>
      <c r="E23" s="38">
        <f>VLOOKUP(C23,'Active 1'!C$21:E$973,3,FALSE)</f>
        <v>26287.782545878865</v>
      </c>
      <c r="F23" s="3" t="s">
        <v>53</v>
      </c>
      <c r="G23" s="10" t="str">
        <f t="shared" si="4"/>
        <v>55834.3193</v>
      </c>
      <c r="H23" s="8">
        <f t="shared" si="5"/>
        <v>5715</v>
      </c>
      <c r="I23" s="39" t="s">
        <v>92</v>
      </c>
      <c r="J23" s="40" t="s">
        <v>93</v>
      </c>
      <c r="K23" s="39">
        <v>5715</v>
      </c>
      <c r="L23" s="39" t="s">
        <v>94</v>
      </c>
      <c r="M23" s="40" t="s">
        <v>67</v>
      </c>
      <c r="N23" s="40" t="s">
        <v>76</v>
      </c>
      <c r="O23" s="41" t="s">
        <v>68</v>
      </c>
      <c r="P23" s="42" t="s">
        <v>69</v>
      </c>
    </row>
    <row r="24" spans="1:16" ht="12.75" customHeight="1" thickBot="1" x14ac:dyDescent="0.25">
      <c r="A24" s="8" t="str">
        <f t="shared" si="0"/>
        <v>VSB 53 </v>
      </c>
      <c r="B24" s="3" t="str">
        <f t="shared" si="1"/>
        <v>I</v>
      </c>
      <c r="C24" s="8">
        <f t="shared" si="2"/>
        <v>55834.319499999998</v>
      </c>
      <c r="D24" s="10" t="str">
        <f t="shared" si="3"/>
        <v>vis</v>
      </c>
      <c r="E24" s="38">
        <f>VLOOKUP(C24,'Active 1'!C$21:E$973,3,FALSE)</f>
        <v>26287.782888726957</v>
      </c>
      <c r="F24" s="3" t="s">
        <v>53</v>
      </c>
      <c r="G24" s="10" t="str">
        <f t="shared" si="4"/>
        <v>55834.3195</v>
      </c>
      <c r="H24" s="8">
        <f t="shared" si="5"/>
        <v>5715</v>
      </c>
      <c r="I24" s="39" t="s">
        <v>95</v>
      </c>
      <c r="J24" s="40" t="s">
        <v>96</v>
      </c>
      <c r="K24" s="39">
        <v>5715</v>
      </c>
      <c r="L24" s="39" t="s">
        <v>97</v>
      </c>
      <c r="M24" s="40" t="s">
        <v>67</v>
      </c>
      <c r="N24" s="40" t="s">
        <v>53</v>
      </c>
      <c r="O24" s="41" t="s">
        <v>68</v>
      </c>
      <c r="P24" s="42" t="s">
        <v>69</v>
      </c>
    </row>
    <row r="25" spans="1:16" ht="12.75" customHeight="1" thickBot="1" x14ac:dyDescent="0.25">
      <c r="A25" s="8" t="str">
        <f t="shared" si="0"/>
        <v>VSB 53 </v>
      </c>
      <c r="B25" s="3" t="str">
        <f t="shared" si="1"/>
        <v>I</v>
      </c>
      <c r="C25" s="8">
        <f t="shared" si="2"/>
        <v>55834.319799999997</v>
      </c>
      <c r="D25" s="10" t="str">
        <f t="shared" si="3"/>
        <v>vis</v>
      </c>
      <c r="E25" s="38">
        <f>VLOOKUP(C25,'Active 1'!C$21:E$973,3,FALSE)</f>
        <v>26287.783402999106</v>
      </c>
      <c r="F25" s="3" t="s">
        <v>53</v>
      </c>
      <c r="G25" s="10" t="str">
        <f t="shared" si="4"/>
        <v>55834.3198</v>
      </c>
      <c r="H25" s="8">
        <f t="shared" si="5"/>
        <v>5715</v>
      </c>
      <c r="I25" s="39" t="s">
        <v>103</v>
      </c>
      <c r="J25" s="40" t="s">
        <v>96</v>
      </c>
      <c r="K25" s="39">
        <v>5715</v>
      </c>
      <c r="L25" s="39" t="s">
        <v>87</v>
      </c>
      <c r="M25" s="40" t="s">
        <v>67</v>
      </c>
      <c r="N25" s="40" t="s">
        <v>91</v>
      </c>
      <c r="O25" s="41" t="s">
        <v>68</v>
      </c>
      <c r="P25" s="42" t="s">
        <v>69</v>
      </c>
    </row>
    <row r="26" spans="1:16" ht="12.75" customHeight="1" thickBot="1" x14ac:dyDescent="0.25">
      <c r="A26" s="8" t="str">
        <f t="shared" si="0"/>
        <v>VSB 53 </v>
      </c>
      <c r="B26" s="3" t="str">
        <f t="shared" si="1"/>
        <v>I</v>
      </c>
      <c r="C26" s="8">
        <f t="shared" si="2"/>
        <v>55838.402999999998</v>
      </c>
      <c r="D26" s="10" t="str">
        <f t="shared" si="3"/>
        <v>vis</v>
      </c>
      <c r="E26" s="38">
        <f>VLOOKUP(C26,'Active 1'!C$21:E$973,3,FALSE)</f>
        <v>26294.782989798478</v>
      </c>
      <c r="F26" s="3" t="s">
        <v>53</v>
      </c>
      <c r="G26" s="10" t="str">
        <f t="shared" si="4"/>
        <v>55838.4030</v>
      </c>
      <c r="H26" s="8">
        <f t="shared" si="5"/>
        <v>5722</v>
      </c>
      <c r="I26" s="39" t="s">
        <v>104</v>
      </c>
      <c r="J26" s="40" t="s">
        <v>105</v>
      </c>
      <c r="K26" s="39">
        <v>5722</v>
      </c>
      <c r="L26" s="39" t="s">
        <v>97</v>
      </c>
      <c r="M26" s="40" t="s">
        <v>67</v>
      </c>
      <c r="N26" s="40" t="s">
        <v>53</v>
      </c>
      <c r="O26" s="41" t="s">
        <v>68</v>
      </c>
      <c r="P26" s="42" t="s">
        <v>69</v>
      </c>
    </row>
    <row r="27" spans="1:16" ht="12.75" customHeight="1" thickBot="1" x14ac:dyDescent="0.25">
      <c r="A27" s="8" t="str">
        <f t="shared" si="0"/>
        <v>VSB 53 </v>
      </c>
      <c r="B27" s="3" t="str">
        <f t="shared" si="1"/>
        <v>I</v>
      </c>
      <c r="C27" s="8">
        <f t="shared" si="2"/>
        <v>55838.403299999998</v>
      </c>
      <c r="D27" s="10" t="str">
        <f t="shared" si="3"/>
        <v>vis</v>
      </c>
      <c r="E27" s="38">
        <f>VLOOKUP(C27,'Active 1'!C$21:E$973,3,FALSE)</f>
        <v>26294.783504070623</v>
      </c>
      <c r="F27" s="3" t="s">
        <v>53</v>
      </c>
      <c r="G27" s="10" t="str">
        <f t="shared" si="4"/>
        <v>55838.4033</v>
      </c>
      <c r="H27" s="8">
        <f t="shared" si="5"/>
        <v>5722</v>
      </c>
      <c r="I27" s="39" t="s">
        <v>106</v>
      </c>
      <c r="J27" s="40" t="s">
        <v>105</v>
      </c>
      <c r="K27" s="39">
        <v>5722</v>
      </c>
      <c r="L27" s="39" t="s">
        <v>87</v>
      </c>
      <c r="M27" s="40" t="s">
        <v>67</v>
      </c>
      <c r="N27" s="40" t="s">
        <v>91</v>
      </c>
      <c r="O27" s="41" t="s">
        <v>68</v>
      </c>
      <c r="P27" s="42" t="s">
        <v>69</v>
      </c>
    </row>
    <row r="28" spans="1:16" ht="12.75" customHeight="1" thickBot="1" x14ac:dyDescent="0.25">
      <c r="A28" s="8" t="str">
        <f t="shared" si="0"/>
        <v>VSB 55 </v>
      </c>
      <c r="B28" s="3" t="str">
        <f t="shared" si="1"/>
        <v>II</v>
      </c>
      <c r="C28" s="8">
        <f t="shared" si="2"/>
        <v>56186.3701</v>
      </c>
      <c r="D28" s="10" t="str">
        <f t="shared" si="3"/>
        <v>vis</v>
      </c>
      <c r="E28" s="38">
        <f>VLOOKUP(C28,'Active 1'!C$21:E$973,3,FALSE)</f>
        <v>26891.282284414116</v>
      </c>
      <c r="F28" s="3" t="s">
        <v>53</v>
      </c>
      <c r="G28" s="10" t="str">
        <f t="shared" si="4"/>
        <v>56186.3701</v>
      </c>
      <c r="H28" s="8">
        <f t="shared" si="5"/>
        <v>6318.5</v>
      </c>
      <c r="I28" s="39" t="s">
        <v>107</v>
      </c>
      <c r="J28" s="40" t="s">
        <v>108</v>
      </c>
      <c r="K28" s="39">
        <v>6318.5</v>
      </c>
      <c r="L28" s="39" t="s">
        <v>109</v>
      </c>
      <c r="M28" s="40" t="s">
        <v>67</v>
      </c>
      <c r="N28" s="40" t="s">
        <v>76</v>
      </c>
      <c r="O28" s="41" t="s">
        <v>68</v>
      </c>
      <c r="P28" s="42" t="s">
        <v>110</v>
      </c>
    </row>
    <row r="29" spans="1:16" ht="12.75" customHeight="1" thickBot="1" x14ac:dyDescent="0.25">
      <c r="A29" s="8" t="str">
        <f t="shared" si="0"/>
        <v>VSB 55 </v>
      </c>
      <c r="B29" s="3" t="str">
        <f t="shared" si="1"/>
        <v>II</v>
      </c>
      <c r="C29" s="8">
        <f t="shared" si="2"/>
        <v>56186.370499999997</v>
      </c>
      <c r="D29" s="10" t="str">
        <f t="shared" si="3"/>
        <v>vis</v>
      </c>
      <c r="E29" s="38">
        <f>VLOOKUP(C29,'Active 1'!C$21:E$973,3,FALSE)</f>
        <v>26891.282970110311</v>
      </c>
      <c r="F29" s="3" t="s">
        <v>53</v>
      </c>
      <c r="G29" s="10" t="str">
        <f t="shared" si="4"/>
        <v>56186.3705</v>
      </c>
      <c r="H29" s="8">
        <f t="shared" si="5"/>
        <v>6318.5</v>
      </c>
      <c r="I29" s="39" t="s">
        <v>111</v>
      </c>
      <c r="J29" s="40" t="s">
        <v>112</v>
      </c>
      <c r="K29" s="39">
        <v>6318.5</v>
      </c>
      <c r="L29" s="39" t="s">
        <v>113</v>
      </c>
      <c r="M29" s="40" t="s">
        <v>67</v>
      </c>
      <c r="N29" s="40" t="s">
        <v>53</v>
      </c>
      <c r="O29" s="41" t="s">
        <v>68</v>
      </c>
      <c r="P29" s="42" t="s">
        <v>110</v>
      </c>
    </row>
    <row r="30" spans="1:16" ht="12.75" customHeight="1" thickBot="1" x14ac:dyDescent="0.25">
      <c r="A30" s="8" t="str">
        <f t="shared" si="0"/>
        <v>BAVM 241 (=IBVS 6157) </v>
      </c>
      <c r="B30" s="3" t="str">
        <f t="shared" si="1"/>
        <v>I</v>
      </c>
      <c r="C30" s="8">
        <f t="shared" si="2"/>
        <v>57207.521399999998</v>
      </c>
      <c r="D30" s="10" t="str">
        <f t="shared" si="3"/>
        <v>vis</v>
      </c>
      <c r="E30" s="38">
        <f>VLOOKUP(C30,'Active 1'!C$21:E$973,3,FALSE)</f>
        <v>28641.781196943029</v>
      </c>
      <c r="F30" s="3" t="s">
        <v>53</v>
      </c>
      <c r="G30" s="10" t="str">
        <f t="shared" si="4"/>
        <v>57207.5214</v>
      </c>
      <c r="H30" s="8">
        <f t="shared" si="5"/>
        <v>8069</v>
      </c>
      <c r="I30" s="39" t="s">
        <v>114</v>
      </c>
      <c r="J30" s="40" t="s">
        <v>115</v>
      </c>
      <c r="K30" s="39">
        <v>8069</v>
      </c>
      <c r="L30" s="39" t="s">
        <v>116</v>
      </c>
      <c r="M30" s="40" t="s">
        <v>67</v>
      </c>
      <c r="N30" s="40" t="s">
        <v>117</v>
      </c>
      <c r="O30" s="41" t="s">
        <v>118</v>
      </c>
      <c r="P30" s="42" t="s">
        <v>119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</sheetData>
  <phoneticPr fontId="8" type="noConversion"/>
  <hyperlinks>
    <hyperlink ref="P14" r:id="rId1" display="http://vsolj.cetus-net.org/vsoljno53.pdf" xr:uid="{00000000-0004-0000-0200-000000000000}"/>
    <hyperlink ref="P15" r:id="rId2" display="http://vsolj.cetus-net.org/vsoljno53.pdf" xr:uid="{00000000-0004-0000-0200-000001000000}"/>
    <hyperlink ref="P16" r:id="rId3" display="http://vsolj.cetus-net.org/vsoljno53.pdf" xr:uid="{00000000-0004-0000-0200-000002000000}"/>
    <hyperlink ref="P17" r:id="rId4" display="http://vsolj.cetus-net.org/vsoljno53.pdf" xr:uid="{00000000-0004-0000-0200-000003000000}"/>
    <hyperlink ref="P18" r:id="rId5" display="http://vsolj.cetus-net.org/vsoljno53.pdf" xr:uid="{00000000-0004-0000-0200-000004000000}"/>
    <hyperlink ref="P19" r:id="rId6" display="http://vsolj.cetus-net.org/vsoljno53.pdf" xr:uid="{00000000-0004-0000-0200-000005000000}"/>
    <hyperlink ref="P20" r:id="rId7" display="http://vsolj.cetus-net.org/vsoljno53.pdf" xr:uid="{00000000-0004-0000-0200-000006000000}"/>
    <hyperlink ref="P21" r:id="rId8" display="http://vsolj.cetus-net.org/vsoljno53.pdf" xr:uid="{00000000-0004-0000-0200-000007000000}"/>
    <hyperlink ref="P22" r:id="rId9" display="http://vsolj.cetus-net.org/vsoljno53.pdf" xr:uid="{00000000-0004-0000-0200-000008000000}"/>
    <hyperlink ref="P23" r:id="rId10" display="http://vsolj.cetus-net.org/vsoljno53.pdf" xr:uid="{00000000-0004-0000-0200-000009000000}"/>
    <hyperlink ref="P24" r:id="rId11" display="http://vsolj.cetus-net.org/vsoljno53.pdf" xr:uid="{00000000-0004-0000-0200-00000A000000}"/>
    <hyperlink ref="P11" r:id="rId12" display="http://www.konkoly.hu/cgi-bin/IBVS?6033" xr:uid="{00000000-0004-0000-0200-00000B000000}"/>
    <hyperlink ref="P25" r:id="rId13" display="http://vsolj.cetus-net.org/vsoljno53.pdf" xr:uid="{00000000-0004-0000-0200-00000C000000}"/>
    <hyperlink ref="P26" r:id="rId14" display="http://vsolj.cetus-net.org/vsoljno53.pdf" xr:uid="{00000000-0004-0000-0200-00000D000000}"/>
    <hyperlink ref="P27" r:id="rId15" display="http://vsolj.cetus-net.org/vsoljno53.pdf" xr:uid="{00000000-0004-0000-0200-00000E000000}"/>
    <hyperlink ref="P28" r:id="rId16" display="http://vsolj.cetus-net.org/vsoljno55.pdf" xr:uid="{00000000-0004-0000-0200-00000F000000}"/>
    <hyperlink ref="P29" r:id="rId17" display="http://vsolj.cetus-net.org/vsoljno55.pdf" xr:uid="{00000000-0004-0000-0200-000010000000}"/>
    <hyperlink ref="P30" r:id="rId18" display="http://www.bav-astro.de/sfs/BAVM_link.php?BAVMnr=241" xr:uid="{00000000-0004-0000-02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2024-02-06T05:40:30Z</dcterms:modified>
</cp:coreProperties>
</file>