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5B4210F7-EEE0-41CD-8131-418F8FBD69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1" i="1" l="1"/>
  <c r="F21" i="1" s="1"/>
  <c r="G21" i="1" s="1"/>
  <c r="H21" i="1" s="1"/>
  <c r="Q21" i="1"/>
  <c r="F14" i="1"/>
  <c r="E26" i="1"/>
  <c r="F26" i="1" s="1"/>
  <c r="G26" i="1" s="1"/>
  <c r="K26" i="1" s="1"/>
  <c r="Q26" i="1"/>
  <c r="E25" i="1"/>
  <c r="F25" i="1" s="1"/>
  <c r="G25" i="1" s="1"/>
  <c r="K25" i="1" s="1"/>
  <c r="Q25" i="1"/>
  <c r="E24" i="1"/>
  <c r="F24" i="1" s="1"/>
  <c r="G24" i="1" s="1"/>
  <c r="K24" i="1" s="1"/>
  <c r="D9" i="1"/>
  <c r="C9" i="1"/>
  <c r="E22" i="1"/>
  <c r="F22" i="1" s="1"/>
  <c r="G22" i="1" s="1"/>
  <c r="I22" i="1" s="1"/>
  <c r="E23" i="1"/>
  <c r="F23" i="1" s="1"/>
  <c r="G23" i="1" s="1"/>
  <c r="K23" i="1" s="1"/>
  <c r="Q24" i="1"/>
  <c r="Q23" i="1"/>
  <c r="C17" i="1"/>
  <c r="Q22" i="1"/>
  <c r="C11" i="1"/>
  <c r="C12" i="1"/>
  <c r="O21" i="1" l="1"/>
  <c r="F15" i="1"/>
  <c r="O26" i="1"/>
  <c r="C15" i="1"/>
  <c r="O22" i="1"/>
  <c r="O24" i="1"/>
  <c r="O23" i="1"/>
  <c r="O25" i="1"/>
  <c r="C16" i="1"/>
  <c r="D18" i="1" s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<sst xmlns="http://schemas.openxmlformats.org/spreadsheetml/2006/main" count="66" uniqueCount="56">
  <si>
    <t>PE</t>
  </si>
  <si>
    <t>CCD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</si>
  <si>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</si>
  <si>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</si>
  <si>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</si>
  <si>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</si>
  <si>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</si>
  <si>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</si>
  <si>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</si>
  <si>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</si>
  <si>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</si>
  <si>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</si>
  <si>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</si>
  <si>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</si>
  <si>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</si>
  <si>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</si>
  <si>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</si>
  <si>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</si>
  <si>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</si>
  <si>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</si>
  <si>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</si>
  <si>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</si>
  <si>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</si>
  <si>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</si>
  <si>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</si>
  <si>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</si>
  <si>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</si>
  <si>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</si>
  <si>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</si>
  <si>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</si>
  <si>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</si>
  <si>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</si>
  <si>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</si>
  <si>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</si>
  <si>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</si>
  <si>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</si>
  <si>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</si>
  <si>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</si>
  <si>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</si>
  <si>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DG Dra</t>
  </si>
  <si>
    <t>DG Dra / GSC 3927-0296</t>
  </si>
  <si>
    <t>BRNO</t>
  </si>
  <si>
    <t>OEJV 0160</t>
  </si>
  <si>
    <t>I</t>
  </si>
  <si>
    <t>G3927-0296</t>
  </si>
  <si>
    <t>vis</t>
  </si>
  <si>
    <t>OEJV 0179</t>
  </si>
  <si>
    <t>OEJV 0203</t>
  </si>
  <si>
    <t>II</t>
  </si>
  <si>
    <t>JBAV, 55</t>
  </si>
  <si>
    <t xml:space="preserve">Mag </t>
  </si>
  <si>
    <t>Next ToM-P</t>
  </si>
  <si>
    <t>Next ToM-S</t>
  </si>
  <si>
    <t>9.40 (0.19)</t>
  </si>
  <si>
    <t>VSX</t>
  </si>
  <si>
    <t>ELL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</si>
</sst>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8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7">
    <xf numFmtId="0" fontId="0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20" fillId="0" borderId="0"/>
    <xf numFmtId="0" fontId="20" fillId="23" borderId="5" applyNumberFormat="0" applyFont="0" applyAlignment="0" applyProtection="0"/>
    <xf numFmtId="0" fontId="27" fillId="20" borderId="6" applyNumberFormat="0" applyAlignment="0" applyProtection="0"/>
    <xf numFmtId="0" fontId="28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29" fillId="0" borderId="0" applyNumberFormat="0" applyFill="0" applyBorder="0" applyAlignment="0" applyProtection="0"/>
  </cellStyleXfs>
  <cellXfs count="5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/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13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9" fillId="0" borderId="0" xfId="0" applyFont="1" applyAlignment="1">
      <alignment horizontal="left"/>
    </xf>
    <xf numFmtId="0" fontId="14" fillId="0" borderId="0" xfId="0" applyFont="1">
      <alignment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30" fillId="0" borderId="0" xfId="41" applyFont="1"/>
    <xf numFmtId="0" fontId="30" fillId="0" borderId="0" xfId="41" applyFont="1" applyAlignment="1">
      <alignment horizontal="center"/>
    </xf>
    <xf numFmtId="0" fontId="30" fillId="0" borderId="0" xfId="41" applyFont="1" applyAlignment="1">
      <alignment horizontal="left"/>
    </xf>
    <xf numFmtId="0" fontId="30" fillId="0" borderId="0" xfId="0" applyFont="1" applyAlignment="1"/>
    <xf numFmtId="0" fontId="30" fillId="0" borderId="0" xfId="0" applyFont="1" applyAlignment="1">
      <alignment horizontal="center"/>
    </xf>
    <xf numFmtId="0" fontId="30" fillId="0" borderId="0" xfId="0" applyFont="1" applyAlignment="1">
      <alignment horizontal="left"/>
    </xf>
    <xf numFmtId="0" fontId="32" fillId="0" borderId="0" xfId="0" applyFont="1" applyAlignment="1">
      <alignment vertical="center" wrapText="1"/>
    </xf>
    <xf numFmtId="0" fontId="32" fillId="0" borderId="0" xfId="0" applyFont="1" applyAlignment="1">
      <alignment horizontal="center" vertical="center" wrapText="1"/>
    </xf>
    <xf numFmtId="165" fontId="32" fillId="0" borderId="0" xfId="0" applyNumberFormat="1" applyFont="1" applyAlignment="1">
      <alignment horizontal="left" vertical="center" wrapText="1"/>
    </xf>
    <xf numFmtId="0" fontId="3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33" fillId="0" borderId="13" xfId="0" applyFont="1" applyBorder="1" applyAlignment="1">
      <alignment horizontal="right" vertical="center"/>
    </xf>
    <xf numFmtId="0" fontId="33" fillId="0" borderId="16" xfId="0" applyFont="1" applyBorder="1" applyAlignment="1">
      <alignment horizontal="right" vertical="center"/>
    </xf>
    <xf numFmtId="0" fontId="20" fillId="24" borderId="11" xfId="0" applyFont="1" applyFill="1" applyBorder="1" applyAlignment="1">
      <alignment horizontal="right" vertical="center"/>
    </xf>
    <xf numFmtId="0" fontId="34" fillId="0" borderId="14" xfId="0" applyFont="1" applyBorder="1" applyAlignment="1">
      <alignment horizontal="right" vertical="center"/>
    </xf>
    <xf numFmtId="0" fontId="35" fillId="0" borderId="14" xfId="0" applyFont="1" applyBorder="1" applyAlignment="1">
      <alignment horizontal="right" vertical="center"/>
    </xf>
    <xf numFmtId="0" fontId="20" fillId="24" borderId="12" xfId="0" applyFont="1" applyFill="1" applyBorder="1" applyAlignment="1">
      <alignment horizontal="center" vertical="center"/>
    </xf>
    <xf numFmtId="22" fontId="34" fillId="0" borderId="14" xfId="0" applyNumberFormat="1" applyFont="1" applyBorder="1" applyAlignment="1">
      <alignment horizontal="right" vertical="center"/>
    </xf>
    <xf numFmtId="22" fontId="34" fillId="0" borderId="15" xfId="0" applyNumberFormat="1" applyFont="1" applyBorder="1" applyAlignment="1">
      <alignment horizontal="right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20" fillId="0" borderId="0" xfId="0" applyFont="1" applyAlignment="1"/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DG Dra - O-C Diagr.</a:t>
            </a:r>
          </a:p>
        </c:rich>
      </c:tx>
      <c:layout>
        <c:manualLayout>
          <c:xMode val="edge"/>
          <c:yMode val="edge"/>
          <c:x val="0.39499304589707929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656467315716272"/>
          <c:y val="0.14035127795846455"/>
          <c:w val="0.8303198887343532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0BB-4365-9C4A-467E495706AD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5.4628199999569915E-2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0BB-4365-9C4A-467E495706AD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0BB-4365-9C4A-467E495706AD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2">
                  <c:v>5.109420000371756E-2</c:v>
                </c:pt>
                <c:pt idx="3">
                  <c:v>7.2823799993784633E-2</c:v>
                </c:pt>
                <c:pt idx="4">
                  <c:v>5.1148099999409169E-2</c:v>
                </c:pt>
                <c:pt idx="5">
                  <c:v>5.1750200102105737E-2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0BB-4365-9C4A-467E495706AD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0BB-4365-9C4A-467E495706AD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0BB-4365-9C4A-467E495706AD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</c:v>
                  </c:pt>
                  <c:pt idx="2">
                    <c:v>4.0000000000000002E-4</c:v>
                  </c:pt>
                  <c:pt idx="3">
                    <c:v>2.5999999999999999E-3</c:v>
                  </c:pt>
                  <c:pt idx="4">
                    <c:v>3.0000000000000001E-5</c:v>
                  </c:pt>
                  <c:pt idx="5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0BB-4365-9C4A-467E495706AD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8.6465265106332456E-3</c:v>
                </c:pt>
                <c:pt idx="1">
                  <c:v>3.8479754422961553E-2</c:v>
                </c:pt>
                <c:pt idx="2">
                  <c:v>5.2373344282077523E-2</c:v>
                </c:pt>
                <c:pt idx="3">
                  <c:v>5.6982832167627971E-2</c:v>
                </c:pt>
                <c:pt idx="4">
                  <c:v>6.095643504855873E-2</c:v>
                </c:pt>
                <c:pt idx="5">
                  <c:v>6.4005607666727998E-2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0BB-4365-9C4A-467E495706AD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16491</c:v>
                </c:pt>
                <c:pt idx="2">
                  <c:v>24171</c:v>
                </c:pt>
                <c:pt idx="3">
                  <c:v>26719</c:v>
                </c:pt>
                <c:pt idx="4">
                  <c:v>28915.5</c:v>
                </c:pt>
                <c:pt idx="5">
                  <c:v>30601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0BB-4365-9C4A-467E495706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73460520"/>
        <c:axId val="1"/>
      </c:scatterChart>
      <c:valAx>
        <c:axId val="8734605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3393602225312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734605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83031988873435"/>
          <c:y val="0.92397937099967764"/>
          <c:w val="0.6606397774687065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0</xdr:rowOff>
    </xdr:from>
    <xdr:to>
      <xdr:col>18</xdr:col>
      <xdr:colOff>57150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A3282A87-E5DE-B923-B71D-F97F626C81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1.570312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40</v>
      </c>
    </row>
    <row r="2" spans="1:6" ht="12.95" customHeight="1" x14ac:dyDescent="0.2">
      <c r="A2" t="s">
        <v>25</v>
      </c>
      <c r="B2" s="54" t="s">
        <v>55</v>
      </c>
      <c r="C2" s="3"/>
      <c r="D2" s="3"/>
      <c r="E2" s="10" t="s">
        <v>39</v>
      </c>
      <c r="F2" t="s">
        <v>44</v>
      </c>
    </row>
    <row r="3" spans="1:6" ht="12.95" customHeight="1" thickBot="1" x14ac:dyDescent="0.25"/>
    <row r="4" spans="1:6" ht="12.95" customHeight="1" thickTop="1" thickBot="1" x14ac:dyDescent="0.25">
      <c r="A4" s="5" t="s">
        <v>2</v>
      </c>
      <c r="C4" s="26" t="s">
        <v>38</v>
      </c>
      <c r="D4" s="27" t="s">
        <v>38</v>
      </c>
    </row>
    <row r="5" spans="1:6" ht="12.95" customHeight="1" thickTop="1" x14ac:dyDescent="0.2">
      <c r="A5" s="9" t="s">
        <v>30</v>
      </c>
      <c r="B5" s="10"/>
      <c r="C5" s="11">
        <v>-9.5</v>
      </c>
      <c r="D5" s="10" t="s">
        <v>31</v>
      </c>
    </row>
    <row r="6" spans="1:6" ht="12.95" customHeight="1" x14ac:dyDescent="0.2">
      <c r="A6" s="5" t="s">
        <v>3</v>
      </c>
      <c r="E6" s="51" t="s">
        <v>41</v>
      </c>
    </row>
    <row r="7" spans="1:6" ht="12.95" customHeight="1" x14ac:dyDescent="0.2">
      <c r="A7" t="s">
        <v>4</v>
      </c>
      <c r="C7" s="42">
        <v>41851.847999999998</v>
      </c>
      <c r="D7" s="28" t="s">
        <v>54</v>
      </c>
      <c r="E7" s="52">
        <v>51274.362000000001</v>
      </c>
    </row>
    <row r="8" spans="1:6" ht="12.95" customHeight="1" x14ac:dyDescent="0.2">
      <c r="A8" t="s">
        <v>5</v>
      </c>
      <c r="C8" s="42">
        <v>0.57136980000000004</v>
      </c>
      <c r="D8" s="28" t="s">
        <v>54</v>
      </c>
      <c r="E8" s="53">
        <v>0.57137300000000002</v>
      </c>
    </row>
    <row r="9" spans="1:6" ht="12.95" customHeight="1" x14ac:dyDescent="0.2">
      <c r="A9" s="23" t="s">
        <v>33</v>
      </c>
      <c r="B9" s="24">
        <v>21</v>
      </c>
      <c r="C9" s="21" t="str">
        <f>"F"&amp;B9</f>
        <v>F21</v>
      </c>
      <c r="D9" s="22" t="str">
        <f>"G"&amp;B9</f>
        <v>G21</v>
      </c>
    </row>
    <row r="10" spans="1:6" ht="12.95" customHeight="1" thickBot="1" x14ac:dyDescent="0.25">
      <c r="A10" s="10"/>
      <c r="B10" s="10"/>
      <c r="C10" s="4" t="s">
        <v>21</v>
      </c>
      <c r="D10" s="4" t="s">
        <v>22</v>
      </c>
      <c r="E10" s="10"/>
    </row>
    <row r="11" spans="1:6" ht="12.95" customHeight="1" x14ac:dyDescent="0.2">
      <c r="A11" s="10" t="s">
        <v>17</v>
      </c>
      <c r="B11" s="10"/>
      <c r="C11" s="20">
        <f ca="1">INTERCEPT(INDIRECT($D$9):G992,INDIRECT($C$9):F992)</f>
        <v>8.6465265106332456E-3</v>
      </c>
      <c r="D11" s="3"/>
      <c r="E11" s="10"/>
    </row>
    <row r="12" spans="1:6" ht="12.95" customHeight="1" x14ac:dyDescent="0.2">
      <c r="A12" s="10" t="s">
        <v>18</v>
      </c>
      <c r="B12" s="10"/>
      <c r="C12" s="20">
        <f ca="1">SLOPE(INDIRECT($D$9):G992,INDIRECT($C$9):F992)</f>
        <v>1.8090611795723915E-6</v>
      </c>
      <c r="D12" s="3"/>
      <c r="E12" s="45" t="s">
        <v>50</v>
      </c>
      <c r="F12" s="48" t="s">
        <v>53</v>
      </c>
    </row>
    <row r="13" spans="1:6" ht="12.95" customHeight="1" x14ac:dyDescent="0.2">
      <c r="A13" s="10" t="s">
        <v>20</v>
      </c>
      <c r="B13" s="10"/>
      <c r="C13" s="3" t="s">
        <v>15</v>
      </c>
      <c r="E13" s="43" t="s">
        <v>35</v>
      </c>
      <c r="F13" s="47">
        <v>1</v>
      </c>
    </row>
    <row r="14" spans="1:6" ht="12.95" customHeight="1" x14ac:dyDescent="0.2">
      <c r="A14" s="10"/>
      <c r="B14" s="10"/>
      <c r="C14" s="10"/>
      <c r="E14" s="43" t="s">
        <v>32</v>
      </c>
      <c r="F14" s="46">
        <f ca="1">NOW()+15018.5+$C$5/24</f>
        <v>60527.745554282403</v>
      </c>
    </row>
    <row r="15" spans="1:6" ht="12.95" customHeight="1" x14ac:dyDescent="0.2">
      <c r="A15" s="12" t="s">
        <v>19</v>
      </c>
      <c r="B15" s="10"/>
      <c r="C15" s="13">
        <f ca="1">(C7+C11)+(C8+C12)*INT(MAX(F21:F3533))</f>
        <v>59336.399255407669</v>
      </c>
      <c r="E15" s="43" t="s">
        <v>36</v>
      </c>
      <c r="F15" s="46">
        <f ca="1">ROUND(2*($F$14-$C$7)/$C$8,0)/2+$F$13</f>
        <v>32687</v>
      </c>
    </row>
    <row r="16" spans="1:6" ht="12.95" customHeight="1" x14ac:dyDescent="0.2">
      <c r="A16" s="15" t="s">
        <v>6</v>
      </c>
      <c r="B16" s="10"/>
      <c r="C16" s="16">
        <f ca="1">+C8+C12</f>
        <v>0.57137160906117956</v>
      </c>
      <c r="E16" s="43" t="s">
        <v>37</v>
      </c>
      <c r="F16" s="46">
        <f ca="1">ROUND(2*($F$14-$C$15)/$C$16,0)/2+$F$13</f>
        <v>2086</v>
      </c>
    </row>
    <row r="17" spans="1:21" ht="12.95" customHeight="1" thickBot="1" x14ac:dyDescent="0.25">
      <c r="A17" s="14" t="s">
        <v>29</v>
      </c>
      <c r="B17" s="10"/>
      <c r="C17" s="10">
        <f>COUNT(C21:C2191)</f>
        <v>6</v>
      </c>
      <c r="E17" s="43" t="s">
        <v>51</v>
      </c>
      <c r="F17" s="49">
        <f ca="1">+$C$15+$C$16*$F$16-15018.5-$C$5/24</f>
        <v>45510.176265242626</v>
      </c>
    </row>
    <row r="18" spans="1:21" ht="12.95" customHeight="1" thickTop="1" thickBot="1" x14ac:dyDescent="0.25">
      <c r="A18" s="15" t="s">
        <v>7</v>
      </c>
      <c r="B18" s="10"/>
      <c r="C18" s="18">
        <f ca="1">+C15</f>
        <v>59336.399255407669</v>
      </c>
      <c r="D18" s="19">
        <f ca="1">+C16</f>
        <v>0.57137160906117956</v>
      </c>
      <c r="E18" s="44" t="s">
        <v>52</v>
      </c>
      <c r="F18" s="50">
        <f ca="1">+($C$15+$C$16*$F$16)-($C$16/2)-15018.5-$C$5/24</f>
        <v>45509.890579438099</v>
      </c>
    </row>
    <row r="19" spans="1:21" ht="12.95" customHeight="1" thickTop="1" x14ac:dyDescent="0.2">
      <c r="E19" s="14"/>
      <c r="F19" s="17"/>
    </row>
    <row r="20" spans="1:21" ht="12.95" customHeight="1" thickBot="1" x14ac:dyDescent="0.25">
      <c r="A20" s="4" t="s">
        <v>8</v>
      </c>
      <c r="B20" s="4" t="s">
        <v>9</v>
      </c>
      <c r="C20" s="4" t="s">
        <v>10</v>
      </c>
      <c r="D20" s="4" t="s">
        <v>14</v>
      </c>
      <c r="E20" s="4" t="s">
        <v>11</v>
      </c>
      <c r="F20" s="4" t="s">
        <v>12</v>
      </c>
      <c r="G20" s="4" t="s">
        <v>13</v>
      </c>
      <c r="H20" s="7" t="s">
        <v>54</v>
      </c>
      <c r="I20" s="7" t="s">
        <v>45</v>
      </c>
      <c r="J20" s="7" t="s">
        <v>0</v>
      </c>
      <c r="K20" s="7" t="s">
        <v>1</v>
      </c>
      <c r="L20" s="7" t="s">
        <v>26</v>
      </c>
      <c r="M20" s="7" t="s">
        <v>27</v>
      </c>
      <c r="N20" s="7" t="s">
        <v>28</v>
      </c>
      <c r="O20" s="7" t="s">
        <v>24</v>
      </c>
      <c r="P20" s="6" t="s">
        <v>23</v>
      </c>
      <c r="Q20" s="4" t="s">
        <v>16</v>
      </c>
      <c r="U20" s="25" t="s">
        <v>34</v>
      </c>
    </row>
    <row r="21" spans="1:21" ht="12.95" customHeight="1" x14ac:dyDescent="0.2">
      <c r="A21" s="54" t="s">
        <v>54</v>
      </c>
      <c r="C21" s="8">
        <v>41851.847999999998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8.6465265106332456E-3</v>
      </c>
      <c r="Q21" s="2">
        <f>+C21-15018.5</f>
        <v>26833.347999999998</v>
      </c>
    </row>
    <row r="22" spans="1:21" ht="12.95" customHeight="1" x14ac:dyDescent="0.2">
      <c r="A22" t="s">
        <v>41</v>
      </c>
      <c r="C22" s="8">
        <v>51274.362000000001</v>
      </c>
      <c r="D22" s="8" t="s">
        <v>15</v>
      </c>
      <c r="E22">
        <f>+(C22-C$7)/C$8</f>
        <v>16491.095609183409</v>
      </c>
      <c r="F22">
        <f>ROUND(2*E22,0)/2</f>
        <v>16491</v>
      </c>
      <c r="G22">
        <f>+C22-(C$7+F22*C$8)</f>
        <v>5.4628199999569915E-2</v>
      </c>
      <c r="I22">
        <f>+G22</f>
        <v>5.4628199999569915E-2</v>
      </c>
      <c r="O22">
        <f ca="1">+C$11+C$12*$F22</f>
        <v>3.8479754422961553E-2</v>
      </c>
      <c r="Q22" s="2">
        <f>+C22-15018.5</f>
        <v>36255.862000000001</v>
      </c>
    </row>
    <row r="23" spans="1:21" ht="12.95" customHeight="1" x14ac:dyDescent="0.2">
      <c r="A23" s="29" t="s">
        <v>42</v>
      </c>
      <c r="B23" s="30" t="s">
        <v>43</v>
      </c>
      <c r="C23" s="31">
        <v>55662.47853</v>
      </c>
      <c r="D23" s="31">
        <v>4.0000000000000002E-4</v>
      </c>
      <c r="E23">
        <f>+(C23-C$7)/C$8</f>
        <v>24171.089424047266</v>
      </c>
      <c r="F23">
        <f>ROUND(2*E23,0)/2</f>
        <v>24171</v>
      </c>
      <c r="G23">
        <f>+C23-(C$7+F23*C$8)</f>
        <v>5.109420000371756E-2</v>
      </c>
      <c r="K23">
        <f>+G23</f>
        <v>5.109420000371756E-2</v>
      </c>
      <c r="O23">
        <f ca="1">+C$11+C$12*$F23</f>
        <v>5.2373344282077523E-2</v>
      </c>
      <c r="Q23" s="2">
        <f>+C23-15018.5</f>
        <v>40643.97853</v>
      </c>
      <c r="R23" t="s">
        <v>1</v>
      </c>
    </row>
    <row r="24" spans="1:21" ht="12.95" customHeight="1" x14ac:dyDescent="0.2">
      <c r="A24" s="32" t="s">
        <v>46</v>
      </c>
      <c r="B24" s="33" t="s">
        <v>43</v>
      </c>
      <c r="C24" s="34">
        <v>57118.350509999997</v>
      </c>
      <c r="D24" s="34">
        <v>2.5999999999999999E-3</v>
      </c>
      <c r="E24">
        <f>+(C24-C$7)/C$8</f>
        <v>26719.127454758716</v>
      </c>
      <c r="F24">
        <f>ROUND(2*E24,0)/2</f>
        <v>26719</v>
      </c>
      <c r="G24">
        <f>+C24-(C$7+F24*C$8)</f>
        <v>7.2823799993784633E-2</v>
      </c>
      <c r="K24">
        <f>+G24</f>
        <v>7.2823799993784633E-2</v>
      </c>
      <c r="O24">
        <f ca="1">+C$11+C$12*$F24</f>
        <v>5.6982832167627971E-2</v>
      </c>
      <c r="Q24" s="2">
        <f>+C24-15018.5</f>
        <v>42099.850509999997</v>
      </c>
      <c r="R24" t="s">
        <v>1</v>
      </c>
    </row>
    <row r="25" spans="1:21" ht="12.95" customHeight="1" x14ac:dyDescent="0.2">
      <c r="A25" s="35" t="s">
        <v>47</v>
      </c>
      <c r="B25" s="36" t="s">
        <v>48</v>
      </c>
      <c r="C25" s="37">
        <v>58373.342600000004</v>
      </c>
      <c r="D25" s="37">
        <v>3.0000000000000001E-5</v>
      </c>
      <c r="E25">
        <f>+(C25-C$7)/C$8</f>
        <v>28915.589518381974</v>
      </c>
      <c r="F25">
        <f>ROUND(2*E25,0)/2</f>
        <v>28915.5</v>
      </c>
      <c r="G25">
        <f>+C25-(C$7+F25*C$8)</f>
        <v>5.1148099999409169E-2</v>
      </c>
      <c r="K25">
        <f>+G25</f>
        <v>5.1148099999409169E-2</v>
      </c>
      <c r="O25">
        <f ca="1">+C$11+C$12*$F25</f>
        <v>6.095643504855873E-2</v>
      </c>
      <c r="Q25" s="2">
        <f>+C25-15018.5</f>
        <v>43354.842600000004</v>
      </c>
      <c r="R25" t="e">
        <v>#N/A</v>
      </c>
    </row>
    <row r="26" spans="1:21" ht="12.95" customHeight="1" x14ac:dyDescent="0.2">
      <c r="A26" s="38" t="s">
        <v>49</v>
      </c>
      <c r="B26" s="39" t="s">
        <v>43</v>
      </c>
      <c r="C26" s="40">
        <v>59336.387000000104</v>
      </c>
      <c r="D26" s="41">
        <v>2E-3</v>
      </c>
      <c r="E26">
        <f>+(C26-C$7)/C$8</f>
        <v>30601.090572165533</v>
      </c>
      <c r="F26">
        <f>ROUND(2*E26,0)/2</f>
        <v>30601</v>
      </c>
      <c r="G26">
        <f>+C26-(C$7+F26*C$8)</f>
        <v>5.1750200102105737E-2</v>
      </c>
      <c r="K26">
        <f>+G26</f>
        <v>5.1750200102105737E-2</v>
      </c>
      <c r="O26">
        <f ca="1">+C$11+C$12*$F26</f>
        <v>6.4005607666727998E-2</v>
      </c>
      <c r="Q26" s="2">
        <f>+C26-15018.5</f>
        <v>44317.887000000104</v>
      </c>
    </row>
    <row r="27" spans="1:21" ht="12.95" customHeight="1" x14ac:dyDescent="0.2">
      <c r="C27" s="8"/>
      <c r="D27" s="8"/>
      <c r="Q27" s="2"/>
    </row>
    <row r="28" spans="1:21" ht="12.95" customHeight="1" x14ac:dyDescent="0.2">
      <c r="C28" s="8"/>
      <c r="D28" s="8"/>
      <c r="Q28" s="2"/>
    </row>
    <row r="29" spans="1:21" ht="12.95" customHeight="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rotectedRanges>
    <protectedRange sqref="A24:D25" name="Range1"/>
  </protectedRanges>
  <sortState xmlns:xlrd2="http://schemas.microsoft.com/office/spreadsheetml/2017/richdata2" ref="A21:Z33">
    <sortCondition ref="C21:C33"/>
  </sortState>
  <phoneticPr fontId="6" type="noConversion"/>
  <hyperlinks>
    <hyperlink ref="H686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2024-08-05T05:53:35Z</dcterms:modified>
</cp:coreProperties>
</file>