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41F8C5CA-7D5D-4E18-9208-EA74215D43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Q27" i="1"/>
  <c r="E28" i="1"/>
  <c r="F28" i="1"/>
  <c r="G28" i="1"/>
  <c r="K28" i="1"/>
  <c r="Q28" i="1"/>
  <c r="Q26" i="1"/>
  <c r="Q22" i="1"/>
  <c r="Q23" i="1"/>
  <c r="Q24" i="1"/>
  <c r="Q25" i="1"/>
  <c r="C8" i="1"/>
  <c r="E27" i="1"/>
  <c r="F27" i="1"/>
  <c r="G27" i="1"/>
  <c r="K27" i="1"/>
  <c r="C9" i="1"/>
  <c r="D9" i="1"/>
  <c r="D8" i="1"/>
  <c r="C17" i="1"/>
  <c r="Q21" i="1"/>
  <c r="E22" i="1"/>
  <c r="F22" i="1"/>
  <c r="G22" i="1"/>
  <c r="K22" i="1"/>
  <c r="E24" i="1"/>
  <c r="F24" i="1"/>
  <c r="G24" i="1"/>
  <c r="K24" i="1"/>
  <c r="E25" i="1"/>
  <c r="F25" i="1"/>
  <c r="G25" i="1"/>
  <c r="K25" i="1"/>
  <c r="E26" i="1"/>
  <c r="F26" i="1"/>
  <c r="G26" i="1"/>
  <c r="K26" i="1"/>
  <c r="E21" i="1"/>
  <c r="F21" i="1"/>
  <c r="G21" i="1"/>
  <c r="E23" i="1"/>
  <c r="F23" i="1"/>
  <c r="G23" i="1"/>
  <c r="K23" i="1"/>
  <c r="I21" i="1"/>
  <c r="C11" i="1"/>
  <c r="C12" i="1"/>
  <c r="F15" i="1" l="1"/>
  <c r="C16" i="1"/>
  <c r="D18" i="1" s="1"/>
  <c r="O26" i="1"/>
  <c r="O23" i="1"/>
  <c r="O25" i="1"/>
  <c r="C15" i="1"/>
  <c r="O27" i="1"/>
  <c r="O28" i="1"/>
  <c r="O24" i="1"/>
  <c r="O22" i="1"/>
  <c r="O21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<sst xmlns="http://schemas.openxmlformats.org/spreadsheetml/2006/main" count="70" uniqueCount="56">
  <si>
    <t>IBVS 6244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</si>
  <si>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</si>
  <si>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</si>
  <si>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</si>
  <si>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</si>
  <si>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</si>
  <si>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</si>
  <si>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</si>
  <si>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</si>
  <si>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</si>
  <si>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</si>
  <si>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</si>
  <si>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</si>
  <si>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</si>
  <si>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</si>
  <si>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</si>
  <si>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</si>
  <si>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</si>
  <si>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</si>
  <si>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</si>
  <si>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</si>
  <si>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</si>
  <si>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</si>
  <si>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</si>
  <si>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</si>
  <si>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</si>
  <si>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</si>
  <si>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</si>
  <si>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</si>
  <si>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</si>
  <si>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</si>
  <si>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</si>
  <si>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</si>
  <si>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</si>
  <si>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</si>
  <si>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</si>
  <si>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</si>
  <si>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</si>
  <si>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</si>
  <si>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</si>
  <si>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</si>
  <si>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 xml:space="preserve">V0449 Dra  </t>
  </si>
  <si>
    <t>2017K</t>
  </si>
  <si>
    <t>G4597-1594</t>
  </si>
  <si>
    <t xml:space="preserve">EW        </t>
  </si>
  <si>
    <t>pr_6</t>
  </si>
  <si>
    <t xml:space="preserve">      </t>
  </si>
  <si>
    <t>V0449 Dra   / GSC 4597-1594</t>
  </si>
  <si>
    <t>I</t>
  </si>
  <si>
    <t>OEJV 0179</t>
  </si>
  <si>
    <t>GCVS</t>
  </si>
  <si>
    <t>OEJV 0211</t>
  </si>
  <si>
    <t>Next ToM-P</t>
  </si>
  <si>
    <t>Next ToM-S</t>
  </si>
  <si>
    <t>12.23-12.45</t>
  </si>
  <si>
    <t xml:space="preserve">Mag 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</si>
</sst>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color indexed="17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8">
    <xf numFmtId="0" fontId="0" fillId="0" borderId="0">
      <alignment vertical="top"/>
    </xf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5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2" fillId="3" borderId="0" applyNumberFormat="0" applyBorder="0" applyAlignment="0" applyProtection="0"/>
    <xf numFmtId="0" fontId="23" fillId="20" borderId="1" applyNumberFormat="0" applyAlignment="0" applyProtection="0"/>
    <xf numFmtId="0" fontId="24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5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6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7" fillId="0" borderId="3" applyNumberFormat="0" applyFill="0" applyAlignment="0" applyProtection="0"/>
    <xf numFmtId="0" fontId="27" fillId="0" borderId="0" applyNumberFormat="0" applyFill="0" applyBorder="0" applyAlignment="0" applyProtection="0"/>
    <xf numFmtId="0" fontId="28" fillId="7" borderId="1" applyNumberFormat="0" applyAlignment="0" applyProtection="0"/>
    <xf numFmtId="0" fontId="29" fillId="0" borderId="4" applyNumberFormat="0" applyFill="0" applyAlignment="0" applyProtection="0"/>
    <xf numFmtId="0" fontId="30" fillId="22" borderId="0" applyNumberFormat="0" applyBorder="0" applyAlignment="0" applyProtection="0"/>
    <xf numFmtId="0" fontId="17" fillId="0" borderId="0"/>
    <xf numFmtId="0" fontId="17" fillId="0" borderId="0"/>
    <xf numFmtId="0" fontId="20" fillId="23" borderId="5" applyNumberFormat="0" applyFont="0" applyAlignment="0" applyProtection="0"/>
    <xf numFmtId="0" fontId="31" fillId="20" borderId="6" applyNumberFormat="0" applyAlignment="0" applyProtection="0"/>
    <xf numFmtId="0" fontId="32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3" fillId="0" borderId="0" applyNumberFormat="0" applyFill="0" applyBorder="0" applyAlignment="0" applyProtection="0"/>
  </cellStyleXfs>
  <cellXfs count="5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6" fillId="24" borderId="5" xfId="0" applyFont="1" applyFill="1" applyBorder="1" applyAlignment="1">
      <alignment vertical="center"/>
    </xf>
    <xf numFmtId="0" fontId="17" fillId="0" borderId="5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7" fillId="24" borderId="5" xfId="0" applyFont="1" applyFill="1" applyBorder="1" applyAlignment="1">
      <alignment vertical="center"/>
    </xf>
    <xf numFmtId="0" fontId="19" fillId="0" borderId="5" xfId="0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25" borderId="5" xfId="0" applyFont="1" applyFill="1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34" fillId="0" borderId="0" xfId="42" applyFont="1" applyAlignment="1">
      <alignment horizontal="left"/>
    </xf>
    <xf numFmtId="0" fontId="34" fillId="0" borderId="0" xfId="42" applyFont="1" applyAlignment="1">
      <alignment horizontal="left" wrapText="1"/>
    </xf>
    <xf numFmtId="0" fontId="5" fillId="0" borderId="0" xfId="42" applyFont="1"/>
    <xf numFmtId="0" fontId="5" fillId="0" borderId="0" xfId="42" applyFont="1" applyAlignment="1">
      <alignment horizontal="center"/>
    </xf>
    <xf numFmtId="0" fontId="5" fillId="0" borderId="0" xfId="42" applyFont="1" applyAlignment="1">
      <alignment horizontal="left"/>
    </xf>
    <xf numFmtId="0" fontId="34" fillId="0" borderId="0" xfId="41" applyFont="1"/>
    <xf numFmtId="0" fontId="34" fillId="0" borderId="0" xfId="41" applyFont="1" applyAlignment="1">
      <alignment horizontal="center"/>
    </xf>
    <xf numFmtId="0" fontId="34" fillId="0" borderId="0" xfId="41" applyFont="1" applyAlignment="1">
      <alignment horizontal="left"/>
    </xf>
    <xf numFmtId="0" fontId="0" fillId="0" borderId="0" xfId="0" applyAlignment="1">
      <alignment horizontal="right"/>
    </xf>
    <xf numFmtId="0" fontId="34" fillId="0" borderId="0" xfId="42" applyFont="1" applyAlignment="1">
      <alignment horizontal="center" wrapText="1"/>
    </xf>
    <xf numFmtId="0" fontId="35" fillId="0" borderId="13" xfId="0" applyFont="1" applyBorder="1" applyAlignment="1">
      <alignment horizontal="right" vertical="center"/>
    </xf>
    <xf numFmtId="0" fontId="35" fillId="0" borderId="16" xfId="0" applyFont="1" applyBorder="1" applyAlignment="1">
      <alignment horizontal="right" vertical="center"/>
    </xf>
    <xf numFmtId="0" fontId="6" fillId="26" borderId="11" xfId="0" applyFont="1" applyFill="1" applyBorder="1" applyAlignment="1">
      <alignment horizontal="right" vertical="center"/>
    </xf>
    <xf numFmtId="0" fontId="6" fillId="26" borderId="12" xfId="0" applyFont="1" applyFill="1" applyBorder="1" applyAlignment="1">
      <alignment horizontal="center" vertical="center"/>
    </xf>
    <xf numFmtId="0" fontId="36" fillId="0" borderId="14" xfId="0" applyFont="1" applyBorder="1" applyAlignment="1">
      <alignment horizontal="right" vertical="center"/>
    </xf>
    <xf numFmtId="0" fontId="37" fillId="0" borderId="14" xfId="0" applyFont="1" applyBorder="1" applyAlignment="1">
      <alignment horizontal="right" vertical="center"/>
    </xf>
    <xf numFmtId="22" fontId="37" fillId="0" borderId="14" xfId="0" applyNumberFormat="1" applyFont="1" applyBorder="1" applyAlignment="1">
      <alignment horizontal="right" vertical="center"/>
    </xf>
    <xf numFmtId="22" fontId="37" fillId="0" borderId="15" xfId="0" applyNumberFormat="1" applyFont="1" applyBorder="1" applyAlignment="1">
      <alignment horizontal="right" vertic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V0449 Dra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781954887218044"/>
          <c:y val="0.14035127795846455"/>
          <c:w val="0.82556390977443606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26C-48B1-83EF-E6B955F5F7E9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26C-48B1-83EF-E6B955F5F7E9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26C-48B1-83EF-E6B955F5F7E9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5.2565999998478219E-2</c:v>
                </c:pt>
                <c:pt idx="2">
                  <c:v>5.3246000003127847E-2</c:v>
                </c:pt>
                <c:pt idx="3">
                  <c:v>5.3895999997621402E-2</c:v>
                </c:pt>
                <c:pt idx="4">
                  <c:v>5.405600000085542E-2</c:v>
                </c:pt>
                <c:pt idx="5">
                  <c:v>5.2975999999034684E-2</c:v>
                </c:pt>
                <c:pt idx="6">
                  <c:v>5.9721999765315559E-2</c:v>
                </c:pt>
                <c:pt idx="7">
                  <c:v>2.8898000062326901E-2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26C-48B1-83EF-E6B955F5F7E9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26C-48B1-83EF-E6B955F5F7E9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26C-48B1-83EF-E6B955F5F7E9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6.9999999999999999E-4</c:v>
                  </c:pt>
                  <c:pt idx="2">
                    <c:v>1.1999999999999999E-3</c:v>
                  </c:pt>
                  <c:pt idx="3">
                    <c:v>8.9999999999999998E-4</c:v>
                  </c:pt>
                  <c:pt idx="4">
                    <c:v>8.9999999999999998E-4</c:v>
                  </c:pt>
                  <c:pt idx="5">
                    <c:v>4.0000000000000002E-4</c:v>
                  </c:pt>
                  <c:pt idx="6">
                    <c:v>4.0000000000000002E-4</c:v>
                  </c:pt>
                  <c:pt idx="7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26C-48B1-83EF-E6B955F5F7E9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2.2106121229276063E-3</c:v>
                </c:pt>
                <c:pt idx="1">
                  <c:v>4.9935470709138965E-2</c:v>
                </c:pt>
                <c:pt idx="2">
                  <c:v>4.9935470709138965E-2</c:v>
                </c:pt>
                <c:pt idx="3">
                  <c:v>4.9935470709138965E-2</c:v>
                </c:pt>
                <c:pt idx="4">
                  <c:v>4.9935470709138965E-2</c:v>
                </c:pt>
                <c:pt idx="5">
                  <c:v>5.0046188395222277E-2</c:v>
                </c:pt>
                <c:pt idx="6">
                  <c:v>4.9415097584547402E-2</c:v>
                </c:pt>
                <c:pt idx="7">
                  <c:v>5.3946218887506919E-2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26C-48B1-83EF-E6B955F5F7E9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17242</c:v>
                </c:pt>
                <c:pt idx="2">
                  <c:v>17242</c:v>
                </c:pt>
                <c:pt idx="3">
                  <c:v>17242</c:v>
                </c:pt>
                <c:pt idx="4">
                  <c:v>17242</c:v>
                </c:pt>
                <c:pt idx="5">
                  <c:v>17282</c:v>
                </c:pt>
                <c:pt idx="6">
                  <c:v>17054</c:v>
                </c:pt>
                <c:pt idx="7">
                  <c:v>18691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26C-48B1-83EF-E6B955F5F7E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9073080"/>
        <c:axId val="1"/>
      </c:scatterChart>
      <c:valAx>
        <c:axId val="4990730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03007518796992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990730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052631578947367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361950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4745E22D-2A16-7E21-9611-2AADB54A6A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2.710937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47</v>
      </c>
      <c r="F1" s="29" t="s">
        <v>41</v>
      </c>
      <c r="G1" s="30" t="s">
        <v>42</v>
      </c>
      <c r="H1" s="31"/>
      <c r="I1" s="32" t="s">
        <v>43</v>
      </c>
      <c r="J1" s="33" t="s">
        <v>41</v>
      </c>
      <c r="K1" s="34">
        <v>20.340199999999999</v>
      </c>
      <c r="L1" s="35">
        <v>81.310009999999991</v>
      </c>
      <c r="M1" s="36">
        <v>51442.711000000003</v>
      </c>
      <c r="N1" s="36">
        <v>0.35133199999999998</v>
      </c>
      <c r="O1" s="35" t="s">
        <v>44</v>
      </c>
      <c r="P1">
        <v>12.23</v>
      </c>
      <c r="Q1">
        <v>12.45</v>
      </c>
      <c r="R1" t="s">
        <v>45</v>
      </c>
      <c r="S1" t="s">
        <v>46</v>
      </c>
    </row>
    <row r="2" spans="1:19" ht="12.95" customHeight="1" x14ac:dyDescent="0.2">
      <c r="A2" t="s">
        <v>24</v>
      </c>
      <c r="B2" t="s">
        <v>44</v>
      </c>
      <c r="C2" s="28"/>
      <c r="D2" s="3"/>
    </row>
    <row r="3" spans="1:19" ht="12.95" customHeight="1" thickBot="1" x14ac:dyDescent="0.25"/>
    <row r="4" spans="1:19" ht="12.95" customHeight="1" thickTop="1" thickBot="1" x14ac:dyDescent="0.25">
      <c r="A4" s="5" t="s">
        <v>1</v>
      </c>
      <c r="C4" s="25">
        <v>51442.711000000003</v>
      </c>
      <c r="D4" s="26">
        <v>0.35133199999999998</v>
      </c>
    </row>
    <row r="5" spans="1:19" ht="12.95" customHeight="1" thickTop="1" x14ac:dyDescent="0.2">
      <c r="A5" s="9" t="s">
        <v>29</v>
      </c>
      <c r="B5" s="10"/>
      <c r="C5" s="11">
        <v>-9.5</v>
      </c>
      <c r="D5" s="10" t="s">
        <v>30</v>
      </c>
      <c r="E5" s="10"/>
    </row>
    <row r="6" spans="1:19" ht="12.95" customHeight="1" x14ac:dyDescent="0.2">
      <c r="A6" s="5" t="s">
        <v>2</v>
      </c>
    </row>
    <row r="7" spans="1:19" ht="12.95" customHeight="1" x14ac:dyDescent="0.2">
      <c r="A7" t="s">
        <v>3</v>
      </c>
      <c r="C7" s="46">
        <v>51442.711000000003</v>
      </c>
      <c r="D7" s="27" t="s">
        <v>50</v>
      </c>
    </row>
    <row r="8" spans="1:19" ht="12.95" customHeight="1" x14ac:dyDescent="0.2">
      <c r="A8" t="s">
        <v>4</v>
      </c>
      <c r="C8" s="46">
        <f>N1</f>
        <v>0.35133199999999998</v>
      </c>
      <c r="D8" s="27" t="str">
        <f>D7</f>
        <v>GCVS</v>
      </c>
    </row>
    <row r="9" spans="1:19" ht="12.95" customHeight="1" x14ac:dyDescent="0.2">
      <c r="A9" s="23" t="s">
        <v>32</v>
      </c>
      <c r="B9" s="37">
        <v>21</v>
      </c>
      <c r="C9" s="21" t="str">
        <f>"F"&amp;B9</f>
        <v>F21</v>
      </c>
      <c r="D9" s="22" t="str">
        <f>"G"&amp;B9</f>
        <v>G21</v>
      </c>
    </row>
    <row r="10" spans="1:19" ht="12.95" customHeight="1" thickBot="1" x14ac:dyDescent="0.25">
      <c r="A10" s="10"/>
      <c r="B10" s="10"/>
      <c r="C10" s="4" t="s">
        <v>20</v>
      </c>
      <c r="D10" s="4" t="s">
        <v>21</v>
      </c>
      <c r="E10" s="10"/>
    </row>
    <row r="11" spans="1:19" ht="12.95" customHeight="1" x14ac:dyDescent="0.2">
      <c r="A11" s="10" t="s">
        <v>16</v>
      </c>
      <c r="B11" s="10"/>
      <c r="C11" s="20">
        <f ca="1">INTERCEPT(INDIRECT($D$9):G992,INDIRECT($C$9):F992)</f>
        <v>2.2106121229276063E-3</v>
      </c>
      <c r="D11" s="3"/>
      <c r="E11" s="10"/>
    </row>
    <row r="12" spans="1:19" ht="12.95" customHeight="1" x14ac:dyDescent="0.2">
      <c r="A12" s="10" t="s">
        <v>17</v>
      </c>
      <c r="B12" s="10"/>
      <c r="C12" s="20">
        <f ca="1">SLOPE(INDIRECT($D$9):G992,INDIRECT($C$9):F992)</f>
        <v>2.7679421520827837E-6</v>
      </c>
      <c r="D12" s="3"/>
      <c r="E12" s="50" t="s">
        <v>55</v>
      </c>
      <c r="F12" s="51" t="s">
        <v>54</v>
      </c>
    </row>
    <row r="13" spans="1:19" ht="12.95" customHeight="1" x14ac:dyDescent="0.2">
      <c r="A13" s="10" t="s">
        <v>19</v>
      </c>
      <c r="B13" s="10"/>
      <c r="C13" s="3" t="s">
        <v>14</v>
      </c>
      <c r="E13" s="48" t="s">
        <v>34</v>
      </c>
      <c r="F13" s="52">
        <v>1</v>
      </c>
    </row>
    <row r="14" spans="1:19" ht="12.95" customHeight="1" x14ac:dyDescent="0.2">
      <c r="A14" s="10"/>
      <c r="B14" s="10"/>
      <c r="C14" s="10"/>
      <c r="E14" s="48" t="s">
        <v>31</v>
      </c>
      <c r="F14" s="53">
        <f ca="1">NOW()+15018.5+$C$5/24</f>
        <v>60536.731140277778</v>
      </c>
    </row>
    <row r="15" spans="1:19" ht="12.95" customHeight="1" x14ac:dyDescent="0.2">
      <c r="A15" s="12" t="s">
        <v>18</v>
      </c>
      <c r="B15" s="10"/>
      <c r="C15" s="13">
        <f ca="1">(C7+C11)+(C8+C12)*INT(MAX(F21:F3533))</f>
        <v>58009.511358218893</v>
      </c>
      <c r="E15" s="48" t="s">
        <v>35</v>
      </c>
      <c r="F15" s="53">
        <f ca="1">ROUND(2*($F$14-$C$7)/$C$8,0)/2+$F$13</f>
        <v>25885.5</v>
      </c>
    </row>
    <row r="16" spans="1:19" ht="12.95" customHeight="1" x14ac:dyDescent="0.2">
      <c r="A16" s="15" t="s">
        <v>5</v>
      </c>
      <c r="B16" s="10"/>
      <c r="C16" s="16">
        <f ca="1">+C8+C12</f>
        <v>0.35133476794215207</v>
      </c>
      <c r="E16" s="48" t="s">
        <v>36</v>
      </c>
      <c r="F16" s="53">
        <f ca="1">ROUND(2*($F$14-$C$15)/$C$16,0)/2+$F$13</f>
        <v>7194</v>
      </c>
    </row>
    <row r="17" spans="1:21" ht="12.95" customHeight="1" thickBot="1" x14ac:dyDescent="0.25">
      <c r="A17" s="14" t="s">
        <v>28</v>
      </c>
      <c r="B17" s="10"/>
      <c r="C17" s="10">
        <f>COUNT(C21:C2191)</f>
        <v>8</v>
      </c>
      <c r="E17" s="48" t="s">
        <v>52</v>
      </c>
      <c r="F17" s="54">
        <f ca="1">+$C$15+$C$16*$F$16-15018.5-$C$5/24</f>
        <v>45518.90951212807</v>
      </c>
    </row>
    <row r="18" spans="1:21" ht="12.95" customHeight="1" thickTop="1" thickBot="1" x14ac:dyDescent="0.25">
      <c r="A18" s="15" t="s">
        <v>6</v>
      </c>
      <c r="B18" s="10"/>
      <c r="C18" s="18">
        <f ca="1">+C15</f>
        <v>58009.511358218893</v>
      </c>
      <c r="D18" s="19">
        <f ca="1">+C16</f>
        <v>0.35133476794215207</v>
      </c>
      <c r="E18" s="49" t="s">
        <v>53</v>
      </c>
      <c r="F18" s="55">
        <f ca="1">+($C$15+$C$16*$F$16)-($C$16/2)-15018.5-$C$5/24</f>
        <v>45518.7338447441</v>
      </c>
    </row>
    <row r="19" spans="1:21" ht="12.95" customHeight="1" thickTop="1" x14ac:dyDescent="0.2">
      <c r="E19" s="14"/>
      <c r="F19" s="17"/>
    </row>
    <row r="20" spans="1:21" ht="12.95" customHeight="1" thickBot="1" x14ac:dyDescent="0.25">
      <c r="A20" s="4" t="s">
        <v>7</v>
      </c>
      <c r="B20" s="4" t="s">
        <v>8</v>
      </c>
      <c r="C20" s="4" t="s">
        <v>9</v>
      </c>
      <c r="D20" s="4" t="s">
        <v>13</v>
      </c>
      <c r="E20" s="4" t="s">
        <v>10</v>
      </c>
      <c r="F20" s="4" t="s">
        <v>11</v>
      </c>
      <c r="G20" s="4" t="s">
        <v>12</v>
      </c>
      <c r="H20" s="7" t="s">
        <v>37</v>
      </c>
      <c r="I20" s="7" t="s">
        <v>38</v>
      </c>
      <c r="J20" s="7" t="s">
        <v>39</v>
      </c>
      <c r="K20" s="7" t="s">
        <v>40</v>
      </c>
      <c r="L20" s="7" t="s">
        <v>25</v>
      </c>
      <c r="M20" s="7" t="s">
        <v>26</v>
      </c>
      <c r="N20" s="7" t="s">
        <v>27</v>
      </c>
      <c r="O20" s="7" t="s">
        <v>23</v>
      </c>
      <c r="P20" s="6" t="s">
        <v>22</v>
      </c>
      <c r="Q20" s="4" t="s">
        <v>15</v>
      </c>
      <c r="U20" s="24" t="s">
        <v>33</v>
      </c>
    </row>
    <row r="21" spans="1:21" ht="12.95" customHeight="1" x14ac:dyDescent="0.2">
      <c r="A21" t="s">
        <v>50</v>
      </c>
      <c r="B21" s="3"/>
      <c r="C21" s="8">
        <v>51442.711000000003</v>
      </c>
      <c r="D21" s="8" t="s">
        <v>14</v>
      </c>
      <c r="E21">
        <f t="shared" ref="E21:E26" si="0">+(C21-C$7)/C$8</f>
        <v>0</v>
      </c>
      <c r="F21">
        <f t="shared" ref="F21:F28" si="1">ROUND(2*E21,0)/2</f>
        <v>0</v>
      </c>
      <c r="G21">
        <f t="shared" ref="G21:G26" si="2">+C21-(C$7+F21*C$8)</f>
        <v>0</v>
      </c>
      <c r="I21">
        <f>+G21</f>
        <v>0</v>
      </c>
      <c r="O21">
        <f t="shared" ref="O21:O26" ca="1" si="3">+C$11+C$12*$F21</f>
        <v>2.2106121229276063E-3</v>
      </c>
      <c r="Q21" s="2">
        <f t="shared" ref="Q21:Q26" si="4">+C21-15018.5</f>
        <v>36424.211000000003</v>
      </c>
    </row>
    <row r="22" spans="1:21" ht="12.95" customHeight="1" x14ac:dyDescent="0.2">
      <c r="A22" s="40" t="s">
        <v>49</v>
      </c>
      <c r="B22" s="41" t="s">
        <v>48</v>
      </c>
      <c r="C22" s="42">
        <v>57500.429909999999</v>
      </c>
      <c r="D22" s="42">
        <v>6.9999999999999999E-4</v>
      </c>
      <c r="E22">
        <f t="shared" si="0"/>
        <v>17242.149619163629</v>
      </c>
      <c r="F22">
        <f t="shared" si="1"/>
        <v>17242</v>
      </c>
      <c r="G22">
        <f t="shared" si="2"/>
        <v>5.2565999998478219E-2</v>
      </c>
      <c r="K22">
        <f t="shared" ref="K22:K28" si="5">+G22</f>
        <v>5.2565999998478219E-2</v>
      </c>
      <c r="O22">
        <f t="shared" ca="1" si="3"/>
        <v>4.9935470709138965E-2</v>
      </c>
      <c r="Q22" s="2">
        <f t="shared" si="4"/>
        <v>42481.929909999999</v>
      </c>
    </row>
    <row r="23" spans="1:21" ht="12.95" customHeight="1" x14ac:dyDescent="0.2">
      <c r="A23" s="40" t="s">
        <v>49</v>
      </c>
      <c r="B23" s="41" t="s">
        <v>48</v>
      </c>
      <c r="C23" s="42">
        <v>57500.430590000004</v>
      </c>
      <c r="D23" s="42">
        <v>1.1999999999999999E-3</v>
      </c>
      <c r="E23">
        <f t="shared" si="0"/>
        <v>17242.151554654858</v>
      </c>
      <c r="F23">
        <f t="shared" si="1"/>
        <v>17242</v>
      </c>
      <c r="G23">
        <f t="shared" si="2"/>
        <v>5.3246000003127847E-2</v>
      </c>
      <c r="K23">
        <f t="shared" si="5"/>
        <v>5.3246000003127847E-2</v>
      </c>
      <c r="O23">
        <f t="shared" ca="1" si="3"/>
        <v>4.9935470709138965E-2</v>
      </c>
      <c r="Q23" s="2">
        <f t="shared" si="4"/>
        <v>42481.930590000004</v>
      </c>
    </row>
    <row r="24" spans="1:21" ht="12.95" customHeight="1" x14ac:dyDescent="0.2">
      <c r="A24" s="40" t="s">
        <v>49</v>
      </c>
      <c r="B24" s="41" t="s">
        <v>48</v>
      </c>
      <c r="C24" s="42">
        <v>57500.431239999998</v>
      </c>
      <c r="D24" s="42">
        <v>8.9999999999999998E-4</v>
      </c>
      <c r="E24">
        <f t="shared" si="0"/>
        <v>17242.15340475674</v>
      </c>
      <c r="F24">
        <f t="shared" si="1"/>
        <v>17242</v>
      </c>
      <c r="G24">
        <f t="shared" si="2"/>
        <v>5.3895999997621402E-2</v>
      </c>
      <c r="K24">
        <f t="shared" si="5"/>
        <v>5.3895999997621402E-2</v>
      </c>
      <c r="O24">
        <f t="shared" ca="1" si="3"/>
        <v>4.9935470709138965E-2</v>
      </c>
      <c r="Q24" s="2">
        <f t="shared" si="4"/>
        <v>42481.931239999998</v>
      </c>
    </row>
    <row r="25" spans="1:21" ht="12.95" customHeight="1" x14ac:dyDescent="0.2">
      <c r="A25" s="40" t="s">
        <v>49</v>
      </c>
      <c r="B25" s="41" t="s">
        <v>48</v>
      </c>
      <c r="C25" s="42">
        <v>57500.431400000001</v>
      </c>
      <c r="D25" s="42">
        <v>8.9999999999999998E-4</v>
      </c>
      <c r="E25">
        <f t="shared" si="0"/>
        <v>17242.153860166447</v>
      </c>
      <c r="F25">
        <f t="shared" si="1"/>
        <v>17242</v>
      </c>
      <c r="G25">
        <f t="shared" si="2"/>
        <v>5.405600000085542E-2</v>
      </c>
      <c r="K25">
        <f t="shared" si="5"/>
        <v>5.405600000085542E-2</v>
      </c>
      <c r="O25">
        <f t="shared" ca="1" si="3"/>
        <v>4.9935470709138965E-2</v>
      </c>
      <c r="Q25" s="2">
        <f t="shared" si="4"/>
        <v>42481.931400000001</v>
      </c>
    </row>
    <row r="26" spans="1:21" ht="12.95" customHeight="1" x14ac:dyDescent="0.2">
      <c r="A26" s="38" t="s">
        <v>0</v>
      </c>
      <c r="B26" s="47" t="s">
        <v>48</v>
      </c>
      <c r="C26" s="39">
        <v>57514.4836</v>
      </c>
      <c r="D26" s="39">
        <v>4.0000000000000002E-4</v>
      </c>
      <c r="E26">
        <f t="shared" si="0"/>
        <v>17282.150786150982</v>
      </c>
      <c r="F26">
        <f t="shared" si="1"/>
        <v>17282</v>
      </c>
      <c r="G26">
        <f t="shared" si="2"/>
        <v>5.2975999999034684E-2</v>
      </c>
      <c r="K26">
        <f t="shared" si="5"/>
        <v>5.2975999999034684E-2</v>
      </c>
      <c r="O26">
        <f t="shared" ca="1" si="3"/>
        <v>5.0046188395222277E-2</v>
      </c>
      <c r="Q26" s="2">
        <f t="shared" si="4"/>
        <v>42495.9836</v>
      </c>
    </row>
    <row r="27" spans="1:21" ht="12.95" customHeight="1" x14ac:dyDescent="0.2">
      <c r="A27" s="43" t="s">
        <v>51</v>
      </c>
      <c r="B27" s="44" t="s">
        <v>48</v>
      </c>
      <c r="C27" s="45">
        <v>57434.386649999768</v>
      </c>
      <c r="D27" s="45">
        <v>4.0000000000000002E-4</v>
      </c>
      <c r="E27">
        <f>+(C27-C$7)/C$8</f>
        <v>17054.169987361711</v>
      </c>
      <c r="F27">
        <f t="shared" si="1"/>
        <v>17054</v>
      </c>
      <c r="G27">
        <f>+C27-(C$7+F27*C$8)</f>
        <v>5.9721999765315559E-2</v>
      </c>
      <c r="K27">
        <f t="shared" si="5"/>
        <v>5.9721999765315559E-2</v>
      </c>
      <c r="O27">
        <f ca="1">+C$11+C$12*$F27</f>
        <v>4.9415097584547402E-2</v>
      </c>
      <c r="Q27" s="2">
        <f>+C27-15018.5</f>
        <v>42415.886649999768</v>
      </c>
    </row>
    <row r="28" spans="1:21" ht="12.95" customHeight="1" x14ac:dyDescent="0.2">
      <c r="A28" s="43" t="s">
        <v>51</v>
      </c>
      <c r="B28" s="44" t="s">
        <v>48</v>
      </c>
      <c r="C28" s="45">
        <v>58009.486310000066</v>
      </c>
      <c r="D28" s="45">
        <v>5.0000000000000001E-4</v>
      </c>
      <c r="E28">
        <f>+(C28-C$7)/C$8</f>
        <v>18691.082252684249</v>
      </c>
      <c r="F28">
        <f t="shared" si="1"/>
        <v>18691</v>
      </c>
      <c r="G28">
        <f>+C28-(C$7+F28*C$8)</f>
        <v>2.8898000062326901E-2</v>
      </c>
      <c r="K28">
        <f t="shared" si="5"/>
        <v>2.8898000062326901E-2</v>
      </c>
      <c r="O28">
        <f ca="1">+C$11+C$12*$F28</f>
        <v>5.3946218887506919E-2</v>
      </c>
      <c r="Q28" s="2">
        <f>+C28-15018.5</f>
        <v>42990.986310000066</v>
      </c>
    </row>
    <row r="29" spans="1:21" ht="12.95" customHeight="1" x14ac:dyDescent="0.2">
      <c r="B29" s="3"/>
      <c r="C29" s="8"/>
      <c r="D29" s="8"/>
      <c r="Q29" s="2"/>
    </row>
    <row r="30" spans="1:21" ht="12.95" customHeight="1" x14ac:dyDescent="0.2">
      <c r="B30" s="3"/>
      <c r="C30" s="8"/>
      <c r="D30" s="8"/>
      <c r="Q30" s="2"/>
    </row>
    <row r="31" spans="1:21" ht="12.95" customHeight="1" x14ac:dyDescent="0.2">
      <c r="B31" s="3"/>
      <c r="C31" s="8"/>
      <c r="D31" s="8"/>
      <c r="Q31" s="2"/>
    </row>
    <row r="32" spans="1:21" ht="12.95" customHeight="1" x14ac:dyDescent="0.2">
      <c r="B32" s="3"/>
      <c r="C32" s="8"/>
      <c r="D32" s="8"/>
      <c r="Q32" s="2"/>
    </row>
    <row r="33" spans="3:17" ht="12.95" customHeight="1" x14ac:dyDescent="0.2">
      <c r="C33" s="8"/>
      <c r="D33" s="8"/>
      <c r="Q33" s="2"/>
    </row>
    <row r="34" spans="3:17" ht="12.95" customHeight="1" x14ac:dyDescent="0.2">
      <c r="C34" s="8"/>
      <c r="D34" s="8"/>
    </row>
    <row r="35" spans="3:17" ht="12.95" customHeight="1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rotectedRanges>
    <protectedRange sqref="A27:D28" name="Range1"/>
  </protectedRanges>
  <phoneticPr fontId="8" type="noConversion"/>
  <hyperlinks>
    <hyperlink ref="H64443" r:id="rId1" display="http://vsolj.cetus-net.org/bulletin.html" xr:uid="{00000000-0004-0000-0000-000000000000}"/>
    <hyperlink ref="H64436" r:id="rId2" display="https://www.aavso.org/ejaavso" xr:uid="{00000000-0004-0000-0000-000001000000}"/>
    <hyperlink ref="AP587" r:id="rId3" display="http://cdsbib.u-strasbg.fr/cgi-bin/cdsbib?1990RMxAA..21..381G" xr:uid="{00000000-0004-0000-0000-000002000000}"/>
    <hyperlink ref="AP591" r:id="rId4" display="http://cdsbib.u-strasbg.fr/cgi-bin/cdsbib?1990RMxAA..21..381G" xr:uid="{00000000-0004-0000-0000-000003000000}"/>
    <hyperlink ref="AP590" r:id="rId5" display="http://cdsbib.u-strasbg.fr/cgi-bin/cdsbib?1990RMxAA..21..381G" xr:uid="{00000000-0004-0000-0000-000004000000}"/>
    <hyperlink ref="AP571" r:id="rId6" display="http://cdsbib.u-strasbg.fr/cgi-bin/cdsbib?1990RMxAA..21..381G" xr:uid="{00000000-0004-0000-0000-000005000000}"/>
    <hyperlink ref="I64443" r:id="rId7" display="http://vsolj.cetus-net.org/bulletin.html" xr:uid="{00000000-0004-0000-0000-000006000000}"/>
    <hyperlink ref="AQ727" r:id="rId8" display="http://cdsbib.u-strasbg.fr/cgi-bin/cdsbib?1990RMxAA..21..381G" xr:uid="{00000000-0004-0000-0000-000007000000}"/>
    <hyperlink ref="AQ55493" r:id="rId9" display="http://cdsbib.u-strasbg.fr/cgi-bin/cdsbib?1990RMxAA..21..381G" xr:uid="{00000000-0004-0000-0000-000008000000}"/>
    <hyperlink ref="AQ728" r:id="rId10" display="http://cdsbib.u-strasbg.fr/cgi-bin/cdsbib?1990RMxAA..21..381G" xr:uid="{00000000-0004-0000-0000-000009000000}"/>
    <hyperlink ref="H64440" r:id="rId11" display="https://www.aavso.org/ejaavso" xr:uid="{00000000-0004-0000-0000-00000A000000}"/>
    <hyperlink ref="H1613" r:id="rId12" display="http://vsolj.cetus-net.org/bulletin.html" xr:uid="{00000000-0004-0000-0000-00000B000000}"/>
    <hyperlink ref="AP2857" r:id="rId13" display="http://cdsbib.u-strasbg.fr/cgi-bin/cdsbib?1990RMxAA..21..381G" xr:uid="{00000000-0004-0000-0000-00000C000000}"/>
    <hyperlink ref="AP2860" r:id="rId14" display="http://cdsbib.u-strasbg.fr/cgi-bin/cdsbib?1990RMxAA..21..381G" xr:uid="{00000000-0004-0000-0000-00000D000000}"/>
    <hyperlink ref="AP2858" r:id="rId15" display="http://cdsbib.u-strasbg.fr/cgi-bin/cdsbib?1990RMxAA..21..381G" xr:uid="{00000000-0004-0000-0000-00000E000000}"/>
    <hyperlink ref="AP2842" r:id="rId16" display="http://cdsbib.u-strasbg.fr/cgi-bin/cdsbib?1990RMxAA..21..381G" xr:uid="{00000000-0004-0000-0000-00000F000000}"/>
    <hyperlink ref="I1613" r:id="rId17" display="http://vsolj.cetus-net.org/bulletin.html" xr:uid="{00000000-0004-0000-0000-000010000000}"/>
    <hyperlink ref="AQ3071" r:id="rId18" display="http://cdsbib.u-strasbg.fr/cgi-bin/cdsbib?1990RMxAA..21..381G" xr:uid="{00000000-0004-0000-0000-000011000000}"/>
    <hyperlink ref="AQ65308" r:id="rId19" display="http://cdsbib.u-strasbg.fr/cgi-bin/cdsbib?1990RMxAA..21..381G" xr:uid="{00000000-0004-0000-0000-000012000000}"/>
    <hyperlink ref="AQ3075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2024-08-14T05:32:50Z</dcterms:modified>
</cp:coreProperties>
</file>