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BBF2780-6CA5-4AD6-A3F8-03488617C0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I21" i="1" s="1"/>
  <c r="Q21" i="1"/>
  <c r="F14" i="1"/>
  <c r="F15" i="1" s="1"/>
  <c r="Q31" i="1"/>
  <c r="Q30" i="1"/>
  <c r="Q29" i="1"/>
  <c r="E9" i="1"/>
  <c r="D9" i="1"/>
  <c r="Q25" i="1"/>
  <c r="Q26" i="1"/>
  <c r="Q27" i="1"/>
  <c r="Q28" i="1"/>
  <c r="Q23" i="1"/>
  <c r="Q24" i="1"/>
  <c r="E31" i="1"/>
  <c r="F31" i="1" s="1"/>
  <c r="G31" i="1" s="1"/>
  <c r="K31" i="1" s="1"/>
  <c r="Q22" i="1"/>
  <c r="C17" i="1"/>
  <c r="E30" i="1"/>
  <c r="F30" i="1" s="1"/>
  <c r="G30" i="1" s="1"/>
  <c r="K30" i="1" s="1"/>
  <c r="E24" i="1"/>
  <c r="F24" i="1" s="1"/>
  <c r="G24" i="1" s="1"/>
  <c r="K24" i="1" s="1"/>
  <c r="E26" i="1"/>
  <c r="F26" i="1" s="1"/>
  <c r="G26" i="1" s="1"/>
  <c r="K26" i="1" s="1"/>
  <c r="E22" i="1"/>
  <c r="F22" i="1" s="1"/>
  <c r="G22" i="1" s="1"/>
  <c r="K22" i="1" s="1"/>
  <c r="E29" i="1"/>
  <c r="F29" i="1"/>
  <c r="U29" i="1" s="1"/>
  <c r="E27" i="1"/>
  <c r="F27" i="1" s="1"/>
  <c r="G27" i="1" s="1"/>
  <c r="K27" i="1" s="1"/>
  <c r="E23" i="1"/>
  <c r="F23" i="1" s="1"/>
  <c r="G23" i="1" s="1"/>
  <c r="K23" i="1" s="1"/>
  <c r="E28" i="1"/>
  <c r="F28" i="1" s="1"/>
  <c r="G28" i="1" s="1"/>
  <c r="K28" i="1" s="1"/>
  <c r="E25" i="1"/>
  <c r="F25" i="1" s="1"/>
  <c r="G25" i="1" s="1"/>
  <c r="K25" i="1" s="1"/>
  <c r="C11" i="1"/>
  <c r="C12" i="1"/>
  <c r="O21" i="1" l="1"/>
  <c r="O29" i="1"/>
  <c r="O26" i="1"/>
  <c r="O25" i="1"/>
  <c r="O28" i="1"/>
  <c r="O24" i="1"/>
  <c r="O22" i="1"/>
  <c r="O31" i="1"/>
  <c r="O23" i="1"/>
  <c r="O27" i="1"/>
  <c r="C15" i="1"/>
  <c r="O30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<sst xmlns="http://schemas.openxmlformats.org/spreadsheetml/2006/main" count="72" uniqueCount="53">
  <si>
    <t>BAD?</t>
  </si>
  <si>
    <t>PE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</si>
  <si>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</si>
  <si>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</si>
  <si>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</si>
  <si>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</si>
  <si>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</si>
  <si>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</si>
  <si>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</si>
  <si>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</si>
  <si>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</si>
  <si>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</si>
  <si>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</si>
  <si>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</si>
  <si>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</si>
  <si>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</si>
  <si>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</si>
  <si>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</si>
  <si>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</si>
  <si>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</si>
  <si>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</si>
  <si>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</si>
  <si>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</si>
  <si>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</si>
  <si>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</si>
  <si>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</si>
  <si>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</si>
  <si>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</si>
  <si>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</si>
  <si>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</si>
  <si>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</si>
  <si>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</si>
  <si>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</si>
  <si>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</si>
  <si>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</si>
  <si>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</si>
  <si>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</si>
  <si>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</si>
  <si>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</si>
  <si>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</si>
  <si>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GH Eri / GSC 7572-0320               </t>
  </si>
  <si>
    <t xml:space="preserve">EA        </t>
  </si>
  <si>
    <t>IBVS 5843</t>
  </si>
  <si>
    <t>OEJV 0168</t>
  </si>
  <si>
    <t>Add cycle</t>
  </si>
  <si>
    <t>Old Cycle</t>
  </si>
  <si>
    <t>OEJV 0179</t>
  </si>
  <si>
    <t>OEJV 0211</t>
  </si>
  <si>
    <t xml:space="preserve">Mag </t>
  </si>
  <si>
    <t>Next ToM-P</t>
  </si>
  <si>
    <t>Next ToM-S</t>
  </si>
  <si>
    <t>8.93-9.53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</si>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</sst>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7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sz val="10"/>
      <color indexed="14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24" fillId="0" borderId="0"/>
    <xf numFmtId="0" fontId="24" fillId="0" borderId="0"/>
    <xf numFmtId="0" fontId="2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4" fillId="0" borderId="5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5" fillId="0" borderId="0" xfId="0" applyFont="1">
      <alignment vertical="top"/>
    </xf>
    <xf numFmtId="0" fontId="16" fillId="0" borderId="0" xfId="42" applyFont="1"/>
    <xf numFmtId="0" fontId="16" fillId="0" borderId="0" xfId="42" applyFont="1" applyAlignment="1">
      <alignment horizontal="center"/>
    </xf>
    <xf numFmtId="0" fontId="16" fillId="0" borderId="0" xfId="42" applyFont="1" applyAlignment="1">
      <alignment horizontal="left"/>
    </xf>
    <xf numFmtId="0" fontId="34" fillId="0" borderId="8" xfId="0" applyFont="1" applyBorder="1" applyAlignment="1">
      <alignment horizontal="center"/>
    </xf>
    <xf numFmtId="0" fontId="16" fillId="0" borderId="0" xfId="41" applyFont="1"/>
    <xf numFmtId="0" fontId="16" fillId="0" borderId="0" xfId="41" applyFont="1" applyAlignment="1">
      <alignment horizontal="center"/>
    </xf>
    <xf numFmtId="0" fontId="16" fillId="0" borderId="0" xfId="41" applyFont="1" applyAlignment="1">
      <alignment horizontal="left"/>
    </xf>
    <xf numFmtId="0" fontId="6" fillId="0" borderId="0" xfId="0" applyFont="1" applyAlignment="1"/>
    <xf numFmtId="22" fontId="9" fillId="0" borderId="0" xfId="0" applyNumberFormat="1" applyFont="1" applyAlignment="1">
      <alignment horizontal="right" vertical="center"/>
    </xf>
    <xf numFmtId="0" fontId="6" fillId="24" borderId="11" xfId="0" applyFont="1" applyFill="1" applyBorder="1" applyAlignment="1">
      <alignment horizontal="right" vertical="center"/>
    </xf>
    <xf numFmtId="0" fontId="6" fillId="24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36" fillId="0" borderId="14" xfId="0" applyFont="1" applyBorder="1" applyAlignment="1">
      <alignment horizontal="right" vertical="center"/>
    </xf>
    <xf numFmtId="0" fontId="35" fillId="0" borderId="14" xfId="0" applyFont="1" applyBorder="1" applyAlignment="1">
      <alignment horizontal="right" vertical="center"/>
    </xf>
    <xf numFmtId="0" fontId="11" fillId="0" borderId="13" xfId="0" applyFont="1" applyBorder="1" applyAlignment="1">
      <alignment horizontal="right" vertical="center"/>
    </xf>
    <xf numFmtId="22" fontId="35" fillId="0" borderId="14" xfId="0" applyNumberFormat="1" applyFont="1" applyBorder="1" applyAlignment="1">
      <alignment horizontal="right" vertical="center"/>
    </xf>
    <xf numFmtId="22" fontId="35" fillId="0" borderId="15" xfId="0" applyNumberFormat="1" applyFont="1" applyBorder="1" applyAlignment="1">
      <alignment horizontal="right" vertical="center"/>
    </xf>
    <xf numFmtId="0" fontId="11" fillId="0" borderId="16" xfId="0" applyFont="1" applyBorder="1" applyAlignment="1">
      <alignment horizontal="righ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GH Eri - O-C Diagr.</a:t>
            </a:r>
          </a:p>
        </c:rich>
      </c:tx>
      <c:layout>
        <c:manualLayout>
          <c:xMode val="edge"/>
          <c:yMode val="edge"/>
          <c:x val="0.3909774436090225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2">
                    <c:v>5.0000000000000001E-4</c:v>
                  </c:pt>
                  <c:pt idx="3">
                    <c:v>1E-3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1E-4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2">
                    <c:v>5.0000000000000001E-4</c:v>
                  </c:pt>
                  <c:pt idx="3">
                    <c:v>1E-3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365</c:v>
                </c:pt>
                <c:pt idx="2">
                  <c:v>2474</c:v>
                </c:pt>
                <c:pt idx="3">
                  <c:v>2500</c:v>
                </c:pt>
                <c:pt idx="4">
                  <c:v>6451</c:v>
                </c:pt>
                <c:pt idx="5">
                  <c:v>6451</c:v>
                </c:pt>
                <c:pt idx="6">
                  <c:v>6451</c:v>
                </c:pt>
                <c:pt idx="7">
                  <c:v>6451</c:v>
                </c:pt>
                <c:pt idx="8">
                  <c:v>6530</c:v>
                </c:pt>
                <c:pt idx="9">
                  <c:v>7481</c:v>
                </c:pt>
                <c:pt idx="10">
                  <c:v>7629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86-47FA-B344-152D9C591EB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5.0000000000000001E-4</c:v>
                  </c:pt>
                  <c:pt idx="3">
                    <c:v>1E-3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5.0000000000000001E-4</c:v>
                  </c:pt>
                  <c:pt idx="3">
                    <c:v>1E-3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365</c:v>
                </c:pt>
                <c:pt idx="2">
                  <c:v>2474</c:v>
                </c:pt>
                <c:pt idx="3">
                  <c:v>2500</c:v>
                </c:pt>
                <c:pt idx="4">
                  <c:v>6451</c:v>
                </c:pt>
                <c:pt idx="5">
                  <c:v>6451</c:v>
                </c:pt>
                <c:pt idx="6">
                  <c:v>6451</c:v>
                </c:pt>
                <c:pt idx="7">
                  <c:v>6451</c:v>
                </c:pt>
                <c:pt idx="8">
                  <c:v>6530</c:v>
                </c:pt>
                <c:pt idx="9">
                  <c:v>7481</c:v>
                </c:pt>
                <c:pt idx="10">
                  <c:v>7629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86-47FA-B344-152D9C591EB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5.0000000000000001E-4</c:v>
                  </c:pt>
                  <c:pt idx="3">
                    <c:v>1E-3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5.0000000000000001E-4</c:v>
                  </c:pt>
                  <c:pt idx="3">
                    <c:v>1E-3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365</c:v>
                </c:pt>
                <c:pt idx="2">
                  <c:v>2474</c:v>
                </c:pt>
                <c:pt idx="3">
                  <c:v>2500</c:v>
                </c:pt>
                <c:pt idx="4">
                  <c:v>6451</c:v>
                </c:pt>
                <c:pt idx="5">
                  <c:v>6451</c:v>
                </c:pt>
                <c:pt idx="6">
                  <c:v>6451</c:v>
                </c:pt>
                <c:pt idx="7">
                  <c:v>6451</c:v>
                </c:pt>
                <c:pt idx="8">
                  <c:v>6530</c:v>
                </c:pt>
                <c:pt idx="9">
                  <c:v>7481</c:v>
                </c:pt>
                <c:pt idx="10">
                  <c:v>7629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86-47FA-B344-152D9C591EB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5.0000000000000001E-4</c:v>
                  </c:pt>
                  <c:pt idx="3">
                    <c:v>1E-3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5.0000000000000001E-4</c:v>
                  </c:pt>
                  <c:pt idx="3">
                    <c:v>1E-3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365</c:v>
                </c:pt>
                <c:pt idx="2">
                  <c:v>2474</c:v>
                </c:pt>
                <c:pt idx="3">
                  <c:v>2500</c:v>
                </c:pt>
                <c:pt idx="4">
                  <c:v>6451</c:v>
                </c:pt>
                <c:pt idx="5">
                  <c:v>6451</c:v>
                </c:pt>
                <c:pt idx="6">
                  <c:v>6451</c:v>
                </c:pt>
                <c:pt idx="7">
                  <c:v>6451</c:v>
                </c:pt>
                <c:pt idx="8">
                  <c:v>6530</c:v>
                </c:pt>
                <c:pt idx="9">
                  <c:v>7481</c:v>
                </c:pt>
                <c:pt idx="10">
                  <c:v>7629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1">
                  <c:v>-2.3310000033234246E-3</c:v>
                </c:pt>
                <c:pt idx="2">
                  <c:v>-4.2756000038934872E-3</c:v>
                </c:pt>
                <c:pt idx="3">
                  <c:v>-1.7000000007101335E-3</c:v>
                </c:pt>
                <c:pt idx="4">
                  <c:v>4.0059999446384609E-4</c:v>
                </c:pt>
                <c:pt idx="5">
                  <c:v>5.1059999532299116E-4</c:v>
                </c:pt>
                <c:pt idx="6">
                  <c:v>5.2059999870834872E-4</c:v>
                </c:pt>
                <c:pt idx="7">
                  <c:v>6.9059999805176631E-4</c:v>
                </c:pt>
                <c:pt idx="9">
                  <c:v>1.2685999972745776E-3</c:v>
                </c:pt>
                <c:pt idx="10">
                  <c:v>2.0873999746982008E-3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86-47FA-B344-152D9C591EB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5.0000000000000001E-4</c:v>
                  </c:pt>
                  <c:pt idx="3">
                    <c:v>1E-3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5.0000000000000001E-4</c:v>
                  </c:pt>
                  <c:pt idx="3">
                    <c:v>1E-3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365</c:v>
                </c:pt>
                <c:pt idx="2">
                  <c:v>2474</c:v>
                </c:pt>
                <c:pt idx="3">
                  <c:v>2500</c:v>
                </c:pt>
                <c:pt idx="4">
                  <c:v>6451</c:v>
                </c:pt>
                <c:pt idx="5">
                  <c:v>6451</c:v>
                </c:pt>
                <c:pt idx="6">
                  <c:v>6451</c:v>
                </c:pt>
                <c:pt idx="7">
                  <c:v>6451</c:v>
                </c:pt>
                <c:pt idx="8">
                  <c:v>6530</c:v>
                </c:pt>
                <c:pt idx="9">
                  <c:v>7481</c:v>
                </c:pt>
                <c:pt idx="10">
                  <c:v>7629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686-47FA-B344-152D9C591EB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5.0000000000000001E-4</c:v>
                  </c:pt>
                  <c:pt idx="3">
                    <c:v>1E-3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5.0000000000000001E-4</c:v>
                  </c:pt>
                  <c:pt idx="3">
                    <c:v>1E-3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365</c:v>
                </c:pt>
                <c:pt idx="2">
                  <c:v>2474</c:v>
                </c:pt>
                <c:pt idx="3">
                  <c:v>2500</c:v>
                </c:pt>
                <c:pt idx="4">
                  <c:v>6451</c:v>
                </c:pt>
                <c:pt idx="5">
                  <c:v>6451</c:v>
                </c:pt>
                <c:pt idx="6">
                  <c:v>6451</c:v>
                </c:pt>
                <c:pt idx="7">
                  <c:v>6451</c:v>
                </c:pt>
                <c:pt idx="8">
                  <c:v>6530</c:v>
                </c:pt>
                <c:pt idx="9">
                  <c:v>7481</c:v>
                </c:pt>
                <c:pt idx="10">
                  <c:v>7629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686-47FA-B344-152D9C591EB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5.0000000000000001E-4</c:v>
                  </c:pt>
                  <c:pt idx="3">
                    <c:v>1E-3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5.0000000000000001E-4</c:v>
                  </c:pt>
                  <c:pt idx="3">
                    <c:v>1E-3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365</c:v>
                </c:pt>
                <c:pt idx="2">
                  <c:v>2474</c:v>
                </c:pt>
                <c:pt idx="3">
                  <c:v>2500</c:v>
                </c:pt>
                <c:pt idx="4">
                  <c:v>6451</c:v>
                </c:pt>
                <c:pt idx="5">
                  <c:v>6451</c:v>
                </c:pt>
                <c:pt idx="6">
                  <c:v>6451</c:v>
                </c:pt>
                <c:pt idx="7">
                  <c:v>6451</c:v>
                </c:pt>
                <c:pt idx="8">
                  <c:v>6530</c:v>
                </c:pt>
                <c:pt idx="9">
                  <c:v>7481</c:v>
                </c:pt>
                <c:pt idx="10">
                  <c:v>7629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686-47FA-B344-152D9C591EB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365</c:v>
                </c:pt>
                <c:pt idx="2">
                  <c:v>2474</c:v>
                </c:pt>
                <c:pt idx="3">
                  <c:v>2500</c:v>
                </c:pt>
                <c:pt idx="4">
                  <c:v>6451</c:v>
                </c:pt>
                <c:pt idx="5">
                  <c:v>6451</c:v>
                </c:pt>
                <c:pt idx="6">
                  <c:v>6451</c:v>
                </c:pt>
                <c:pt idx="7">
                  <c:v>6451</c:v>
                </c:pt>
                <c:pt idx="8">
                  <c:v>6530</c:v>
                </c:pt>
                <c:pt idx="9">
                  <c:v>7481</c:v>
                </c:pt>
                <c:pt idx="10">
                  <c:v>7629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-2.4150182612268957E-3</c:v>
                </c:pt>
                <c:pt idx="1">
                  <c:v>-2.2467583940735327E-3</c:v>
                </c:pt>
                <c:pt idx="2">
                  <c:v>-1.274539052083279E-3</c:v>
                </c:pt>
                <c:pt idx="3">
                  <c:v>-1.2625534177107107E-3</c:v>
                </c:pt>
                <c:pt idx="4">
                  <c:v>5.5880202098226818E-4</c:v>
                </c:pt>
                <c:pt idx="5">
                  <c:v>5.5880202098226818E-4</c:v>
                </c:pt>
                <c:pt idx="6">
                  <c:v>5.5880202098226818E-4</c:v>
                </c:pt>
                <c:pt idx="7">
                  <c:v>5.5880202098226818E-4</c:v>
                </c:pt>
                <c:pt idx="8">
                  <c:v>5.9521991003737935E-4</c:v>
                </c:pt>
                <c:pt idx="9">
                  <c:v>1.0336175365109361E-3</c:v>
                </c:pt>
                <c:pt idx="10">
                  <c:v>1.1018434552470943E-3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686-47FA-B344-152D9C591EB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365</c:v>
                </c:pt>
                <c:pt idx="2">
                  <c:v>2474</c:v>
                </c:pt>
                <c:pt idx="3">
                  <c:v>2500</c:v>
                </c:pt>
                <c:pt idx="4">
                  <c:v>6451</c:v>
                </c:pt>
                <c:pt idx="5">
                  <c:v>6451</c:v>
                </c:pt>
                <c:pt idx="6">
                  <c:v>6451</c:v>
                </c:pt>
                <c:pt idx="7">
                  <c:v>6451</c:v>
                </c:pt>
                <c:pt idx="8">
                  <c:v>6530</c:v>
                </c:pt>
                <c:pt idx="9">
                  <c:v>7481</c:v>
                </c:pt>
                <c:pt idx="10">
                  <c:v>7629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8">
                  <c:v>-8.3312000002479181E-2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686-47FA-B344-152D9C591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417816"/>
        <c:axId val="1"/>
      </c:scatterChart>
      <c:valAx>
        <c:axId val="585417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5417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676275</xdr:colOff>
      <xdr:row>18</xdr:row>
      <xdr:rowOff>142875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55100AB-721B-CDF1-36A6-B412A87D5E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42578125" customWidth="1"/>
    <col min="6" max="6" width="16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>
      <c r="A1" s="1" t="s">
        <v>40</v>
      </c>
      <c r="F1" s="3">
        <v>52500.302799999998</v>
      </c>
      <c r="G1" s="3">
        <v>0.72238893000000004</v>
      </c>
      <c r="H1" s="3" t="s">
        <v>41</v>
      </c>
    </row>
    <row r="2" spans="1:8" ht="12.95" customHeight="1">
      <c r="A2" t="s">
        <v>26</v>
      </c>
      <c r="B2" t="s">
        <v>41</v>
      </c>
      <c r="C2" s="3"/>
      <c r="D2" s="3"/>
    </row>
    <row r="3" spans="1:8" ht="12.95" customHeight="1" thickBot="1">
      <c r="D3" s="27" t="s">
        <v>37</v>
      </c>
    </row>
    <row r="4" spans="1:8" ht="12.95" customHeight="1" thickTop="1" thickBot="1">
      <c r="A4" s="5" t="s">
        <v>39</v>
      </c>
      <c r="C4" s="8">
        <v>52500.302799999998</v>
      </c>
      <c r="D4" s="9">
        <v>0.72238893000000004</v>
      </c>
    </row>
    <row r="5" spans="1:8" ht="12.95" customHeight="1" thickTop="1">
      <c r="A5" s="11" t="s">
        <v>31</v>
      </c>
      <c r="B5" s="12"/>
      <c r="C5" s="13">
        <v>-9.5</v>
      </c>
      <c r="D5" s="12" t="s">
        <v>32</v>
      </c>
      <c r="E5" s="12"/>
    </row>
    <row r="6" spans="1:8" ht="12.95" customHeight="1">
      <c r="A6" s="5" t="s">
        <v>4</v>
      </c>
    </row>
    <row r="7" spans="1:8" ht="12.95" customHeight="1">
      <c r="A7" t="s">
        <v>5</v>
      </c>
      <c r="C7" s="42">
        <v>52236.633000000002</v>
      </c>
      <c r="D7" s="42" t="s">
        <v>52</v>
      </c>
    </row>
    <row r="8" spans="1:8" ht="12.95" customHeight="1">
      <c r="A8" t="s">
        <v>6</v>
      </c>
      <c r="C8" s="42">
        <v>0.72238939999999996</v>
      </c>
      <c r="D8" s="42" t="s">
        <v>52</v>
      </c>
    </row>
    <row r="9" spans="1:8" ht="12.95" customHeight="1">
      <c r="A9" s="24" t="s">
        <v>35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8" ht="12.95" customHeight="1" thickBot="1">
      <c r="A10" s="12"/>
      <c r="B10" s="12"/>
      <c r="C10" s="4" t="s">
        <v>22</v>
      </c>
      <c r="D10" s="4" t="s">
        <v>23</v>
      </c>
      <c r="E10" s="12"/>
    </row>
    <row r="11" spans="1:8" ht="12.95" customHeight="1">
      <c r="A11" s="12" t="s">
        <v>18</v>
      </c>
      <c r="B11" s="12"/>
      <c r="C11" s="21">
        <f ca="1">INTERCEPT(INDIRECT($E$9):G975,INDIRECT($D$9):F975)</f>
        <v>-2.4150182612268957E-3</v>
      </c>
      <c r="D11" s="3"/>
      <c r="E11" s="12"/>
    </row>
    <row r="12" spans="1:8" ht="12.95" customHeight="1">
      <c r="A12" s="12" t="s">
        <v>19</v>
      </c>
      <c r="B12" s="12"/>
      <c r="C12" s="21">
        <f ca="1">SLOPE(INDIRECT($E$9):G975,INDIRECT($D$9):F975)</f>
        <v>4.6098593740647399E-7</v>
      </c>
      <c r="D12" s="3"/>
      <c r="E12" s="44" t="s">
        <v>48</v>
      </c>
      <c r="F12" s="45" t="s">
        <v>51</v>
      </c>
    </row>
    <row r="13" spans="1:8" ht="12.95" customHeight="1">
      <c r="A13" s="12" t="s">
        <v>21</v>
      </c>
      <c r="B13" s="12"/>
      <c r="C13" s="3" t="s">
        <v>16</v>
      </c>
      <c r="D13" s="3"/>
      <c r="E13" s="46" t="s">
        <v>44</v>
      </c>
      <c r="F13" s="47">
        <v>1</v>
      </c>
    </row>
    <row r="14" spans="1:8" ht="12.95" customHeight="1">
      <c r="A14" s="12"/>
      <c r="B14" s="12"/>
      <c r="C14" s="12"/>
      <c r="D14" s="12"/>
      <c r="E14" s="46" t="s">
        <v>33</v>
      </c>
      <c r="F14" s="48">
        <f ca="1">NOW()+15018.5+$C$5/24</f>
        <v>60520.861195370366</v>
      </c>
    </row>
    <row r="15" spans="1:8" ht="12.95" customHeight="1">
      <c r="A15" s="14" t="s">
        <v>20</v>
      </c>
      <c r="B15" s="12"/>
      <c r="C15" s="15">
        <f ca="1">(C7+C11)+(C8+C12)*INT(MAX(F21:F3516))</f>
        <v>57747.742834443459</v>
      </c>
      <c r="D15" s="16"/>
      <c r="E15" s="49" t="s">
        <v>45</v>
      </c>
      <c r="F15" s="48">
        <f ca="1">ROUND(2*($F$14-$C$7)/$C$8,0)/2+$F$13</f>
        <v>11469</v>
      </c>
    </row>
    <row r="16" spans="1:8" ht="12.95" customHeight="1">
      <c r="A16" s="17" t="s">
        <v>7</v>
      </c>
      <c r="B16" s="12"/>
      <c r="C16" s="18">
        <f ca="1">+C8+C12</f>
        <v>0.72238986098593738</v>
      </c>
      <c r="D16" s="16"/>
      <c r="E16" s="49" t="s">
        <v>34</v>
      </c>
      <c r="F16" s="48">
        <f ca="1">ROUND(2*($F$14-$C$15)/$C$16,0)/2+$F$13</f>
        <v>3840</v>
      </c>
    </row>
    <row r="17" spans="1:23" ht="12.95" customHeight="1" thickBot="1">
      <c r="A17" s="16" t="s">
        <v>30</v>
      </c>
      <c r="B17" s="12"/>
      <c r="C17" s="12">
        <f>COUNT(C21:C2174)</f>
        <v>11</v>
      </c>
      <c r="D17" s="16"/>
      <c r="E17" s="49" t="s">
        <v>49</v>
      </c>
      <c r="F17" s="50">
        <f ca="1">+$C$15+$C$16*$F$16-15018.5-$C$5/24</f>
        <v>45503.615733962797</v>
      </c>
    </row>
    <row r="18" spans="1:23" ht="12.95" customHeight="1" thickTop="1" thickBot="1">
      <c r="A18" s="17" t="s">
        <v>8</v>
      </c>
      <c r="B18" s="12"/>
      <c r="C18" s="19">
        <f ca="1">+C15</f>
        <v>57747.742834443459</v>
      </c>
      <c r="D18" s="20">
        <f ca="1">+C16</f>
        <v>0.72238986098593738</v>
      </c>
      <c r="E18" s="52" t="s">
        <v>50</v>
      </c>
      <c r="F18" s="51">
        <f ca="1">+($C$15+$C$16*$F$16)-($C$16/2)-15018.5-$C$5/24</f>
        <v>45503.254539032307</v>
      </c>
    </row>
    <row r="19" spans="1:23" ht="12.95" customHeight="1" thickTop="1">
      <c r="E19" s="16"/>
      <c r="F19" s="43"/>
    </row>
    <row r="20" spans="1:23" ht="12.95" customHeight="1" thickBot="1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3</v>
      </c>
      <c r="I20" s="7" t="s">
        <v>52</v>
      </c>
      <c r="J20" s="7" t="s">
        <v>1</v>
      </c>
      <c r="K20" s="7" t="s">
        <v>2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38" t="s">
        <v>0</v>
      </c>
    </row>
    <row r="21" spans="1:23" ht="12.95" customHeight="1">
      <c r="A21" t="s">
        <v>52</v>
      </c>
      <c r="C21" s="10">
        <v>52236.633000000002</v>
      </c>
      <c r="D21" s="10"/>
      <c r="E21" s="30">
        <f t="shared" ref="E21:E31" si="0">+(C21-C$7)/C$8</f>
        <v>0</v>
      </c>
      <c r="F21">
        <f t="shared" ref="F21:F31" si="1">ROUND(2*E21,0)/2</f>
        <v>0</v>
      </c>
      <c r="G21">
        <f t="shared" ref="G21:G28" si="2">+C21-(C$7+F21*C$8)</f>
        <v>0</v>
      </c>
      <c r="I21">
        <f>+G21</f>
        <v>0</v>
      </c>
      <c r="O21">
        <f t="shared" ref="O21:O31" ca="1" si="3">+C$11+C$12*$F21</f>
        <v>-2.4150182612268957E-3</v>
      </c>
      <c r="Q21" s="2">
        <f t="shared" ref="Q21:Q31" si="4">+C21-15018.5</f>
        <v>37218.133000000002</v>
      </c>
    </row>
    <row r="22" spans="1:23" ht="12.95" customHeight="1">
      <c r="A22" s="29" t="s">
        <v>38</v>
      </c>
      <c r="B22" s="28" t="s">
        <v>36</v>
      </c>
      <c r="C22" s="29">
        <v>52500.302799999998</v>
      </c>
      <c r="D22" s="26"/>
      <c r="E22">
        <f t="shared" si="0"/>
        <v>364.99677320846075</v>
      </c>
      <c r="F22">
        <f t="shared" si="1"/>
        <v>365</v>
      </c>
      <c r="G22">
        <f t="shared" si="2"/>
        <v>-2.3310000033234246E-3</v>
      </c>
      <c r="K22">
        <f t="shared" ref="K22:K28" si="5">+G22</f>
        <v>-2.3310000033234246E-3</v>
      </c>
      <c r="O22">
        <f t="shared" ca="1" si="3"/>
        <v>-2.2467583940735327E-3</v>
      </c>
      <c r="Q22" s="2">
        <f t="shared" si="4"/>
        <v>37481.802799999998</v>
      </c>
      <c r="W22" t="s">
        <v>37</v>
      </c>
    </row>
    <row r="23" spans="1:23" ht="12.95" customHeight="1">
      <c r="A23" s="34" t="s">
        <v>42</v>
      </c>
      <c r="B23" s="28" t="s">
        <v>36</v>
      </c>
      <c r="C23" s="29">
        <v>54023.820099999997</v>
      </c>
      <c r="D23" s="29">
        <v>5.0000000000000001E-4</v>
      </c>
      <c r="E23" s="30">
        <f t="shared" si="0"/>
        <v>2473.9940813084959</v>
      </c>
      <c r="F23">
        <f t="shared" si="1"/>
        <v>2474</v>
      </c>
      <c r="G23">
        <f t="shared" si="2"/>
        <v>-4.2756000038934872E-3</v>
      </c>
      <c r="K23">
        <f t="shared" si="5"/>
        <v>-4.2756000038934872E-3</v>
      </c>
      <c r="O23">
        <f t="shared" ca="1" si="3"/>
        <v>-1.274539052083279E-3</v>
      </c>
      <c r="Q23" s="2">
        <f t="shared" si="4"/>
        <v>39005.320099999997</v>
      </c>
    </row>
    <row r="24" spans="1:23" ht="12.95" customHeight="1">
      <c r="A24" s="34" t="s">
        <v>42</v>
      </c>
      <c r="B24" s="28" t="s">
        <v>36</v>
      </c>
      <c r="C24" s="29">
        <v>54042.604800000001</v>
      </c>
      <c r="D24" s="29">
        <v>1E-3</v>
      </c>
      <c r="E24" s="30">
        <f t="shared" si="0"/>
        <v>2499.9976466985804</v>
      </c>
      <c r="F24">
        <f t="shared" si="1"/>
        <v>2500</v>
      </c>
      <c r="G24">
        <f t="shared" si="2"/>
        <v>-1.7000000007101335E-3</v>
      </c>
      <c r="K24">
        <f t="shared" si="5"/>
        <v>-1.7000000007101335E-3</v>
      </c>
      <c r="O24">
        <f t="shared" ca="1" si="3"/>
        <v>-1.2625534177107107E-3</v>
      </c>
      <c r="Q24" s="2">
        <f t="shared" si="4"/>
        <v>39024.104800000001</v>
      </c>
    </row>
    <row r="25" spans="1:23" ht="12.95" customHeight="1">
      <c r="A25" s="31" t="s">
        <v>43</v>
      </c>
      <c r="B25" s="32" t="s">
        <v>36</v>
      </c>
      <c r="C25" s="33">
        <v>56896.767419999996</v>
      </c>
      <c r="D25" s="31">
        <v>2.0000000000000001E-4</v>
      </c>
      <c r="E25" s="30">
        <f t="shared" si="0"/>
        <v>6451.000554548551</v>
      </c>
      <c r="F25">
        <f t="shared" si="1"/>
        <v>6451</v>
      </c>
      <c r="G25">
        <f t="shared" si="2"/>
        <v>4.0059999446384609E-4</v>
      </c>
      <c r="K25">
        <f t="shared" si="5"/>
        <v>4.0059999446384609E-4</v>
      </c>
      <c r="O25">
        <f t="shared" ca="1" si="3"/>
        <v>5.5880202098226818E-4</v>
      </c>
      <c r="Q25" s="2">
        <f t="shared" si="4"/>
        <v>41878.267419999996</v>
      </c>
    </row>
    <row r="26" spans="1:23" ht="12.95" customHeight="1">
      <c r="A26" s="31" t="s">
        <v>43</v>
      </c>
      <c r="B26" s="32" t="s">
        <v>36</v>
      </c>
      <c r="C26" s="33">
        <v>56896.767529999997</v>
      </c>
      <c r="D26" s="31">
        <v>1E-4</v>
      </c>
      <c r="E26" s="30">
        <f t="shared" si="0"/>
        <v>6451.000706820997</v>
      </c>
      <c r="F26">
        <f t="shared" si="1"/>
        <v>6451</v>
      </c>
      <c r="G26">
        <f t="shared" si="2"/>
        <v>5.1059999532299116E-4</v>
      </c>
      <c r="K26">
        <f t="shared" si="5"/>
        <v>5.1059999532299116E-4</v>
      </c>
      <c r="O26">
        <f t="shared" ca="1" si="3"/>
        <v>5.5880202098226818E-4</v>
      </c>
      <c r="Q26" s="2">
        <f t="shared" si="4"/>
        <v>41878.267529999997</v>
      </c>
    </row>
    <row r="27" spans="1:23" ht="12.95" customHeight="1">
      <c r="A27" s="31" t="s">
        <v>43</v>
      </c>
      <c r="B27" s="32" t="s">
        <v>36</v>
      </c>
      <c r="C27" s="33">
        <v>56896.767540000001</v>
      </c>
      <c r="D27" s="31">
        <v>1E-4</v>
      </c>
      <c r="E27" s="30">
        <f t="shared" si="0"/>
        <v>6451.0007206639511</v>
      </c>
      <c r="F27">
        <f t="shared" si="1"/>
        <v>6451</v>
      </c>
      <c r="G27">
        <f t="shared" si="2"/>
        <v>5.2059999870834872E-4</v>
      </c>
      <c r="K27">
        <f t="shared" si="5"/>
        <v>5.2059999870834872E-4</v>
      </c>
      <c r="O27">
        <f t="shared" ca="1" si="3"/>
        <v>5.5880202098226818E-4</v>
      </c>
      <c r="Q27" s="2">
        <f t="shared" si="4"/>
        <v>41878.267540000001</v>
      </c>
    </row>
    <row r="28" spans="1:23" ht="12.95" customHeight="1">
      <c r="A28" s="31" t="s">
        <v>43</v>
      </c>
      <c r="B28" s="32" t="s">
        <v>36</v>
      </c>
      <c r="C28" s="33">
        <v>56896.76771</v>
      </c>
      <c r="D28" s="31">
        <v>1E-4</v>
      </c>
      <c r="E28" s="30">
        <f t="shared" si="0"/>
        <v>6451.0009559940927</v>
      </c>
      <c r="F28">
        <f t="shared" si="1"/>
        <v>6451</v>
      </c>
      <c r="G28">
        <f t="shared" si="2"/>
        <v>6.9059999805176631E-4</v>
      </c>
      <c r="K28">
        <f t="shared" si="5"/>
        <v>6.9059999805176631E-4</v>
      </c>
      <c r="O28">
        <f t="shared" ca="1" si="3"/>
        <v>5.5880202098226818E-4</v>
      </c>
      <c r="Q28" s="2">
        <f t="shared" si="4"/>
        <v>41878.26771</v>
      </c>
    </row>
    <row r="29" spans="1:23" ht="12.95" customHeight="1">
      <c r="A29" s="35" t="s">
        <v>46</v>
      </c>
      <c r="B29" s="36" t="s">
        <v>36</v>
      </c>
      <c r="C29" s="37">
        <v>56953.752469999999</v>
      </c>
      <c r="D29" s="37">
        <v>2.0000000000000001E-4</v>
      </c>
      <c r="E29" s="30">
        <f t="shared" si="0"/>
        <v>6529.8846716189328</v>
      </c>
      <c r="F29">
        <f t="shared" si="1"/>
        <v>6530</v>
      </c>
      <c r="O29">
        <f t="shared" ca="1" si="3"/>
        <v>5.9521991003737935E-4</v>
      </c>
      <c r="Q29" s="2">
        <f t="shared" si="4"/>
        <v>41935.252469999999</v>
      </c>
      <c r="U29">
        <f>+C29-(C$7+F29*C$8)</f>
        <v>-8.3312000002479181E-2</v>
      </c>
    </row>
    <row r="30" spans="1:23">
      <c r="A30" s="35" t="s">
        <v>46</v>
      </c>
      <c r="B30" s="36" t="s">
        <v>36</v>
      </c>
      <c r="C30" s="37">
        <v>57640.829369999999</v>
      </c>
      <c r="D30" s="37">
        <v>1E-4</v>
      </c>
      <c r="E30" s="30">
        <f t="shared" si="0"/>
        <v>7481.0017561165741</v>
      </c>
      <c r="F30">
        <f t="shared" si="1"/>
        <v>7481</v>
      </c>
      <c r="G30">
        <f>+C30-(C$7+F30*C$8)</f>
        <v>1.2685999972745776E-3</v>
      </c>
      <c r="K30">
        <f>+G30</f>
        <v>1.2685999972745776E-3</v>
      </c>
      <c r="O30">
        <f t="shared" ca="1" si="3"/>
        <v>1.0336175365109361E-3</v>
      </c>
      <c r="Q30" s="2">
        <f t="shared" si="4"/>
        <v>42622.329369999999</v>
      </c>
    </row>
    <row r="31" spans="1:23">
      <c r="A31" s="39" t="s">
        <v>47</v>
      </c>
      <c r="B31" s="40" t="s">
        <v>36</v>
      </c>
      <c r="C31" s="41">
        <v>57747.743819999974</v>
      </c>
      <c r="D31" s="41">
        <v>1E-4</v>
      </c>
      <c r="E31" s="30">
        <f t="shared" si="0"/>
        <v>7629.0028895772457</v>
      </c>
      <c r="F31">
        <f t="shared" si="1"/>
        <v>7629</v>
      </c>
      <c r="G31">
        <f>+C31-(C$7+F31*C$8)</f>
        <v>2.0873999746982008E-3</v>
      </c>
      <c r="K31">
        <f>+G31</f>
        <v>2.0873999746982008E-3</v>
      </c>
      <c r="O31">
        <f t="shared" ca="1" si="3"/>
        <v>1.1018434552470943E-3</v>
      </c>
      <c r="Q31" s="2">
        <f t="shared" si="4"/>
        <v>42729.243819999974</v>
      </c>
    </row>
    <row r="32" spans="1:23">
      <c r="C32" s="10"/>
      <c r="D32" s="10"/>
    </row>
    <row r="33" spans="3:4">
      <c r="C33" s="10"/>
      <c r="D33" s="10"/>
    </row>
    <row r="34" spans="3:4">
      <c r="C34" s="10"/>
      <c r="D34" s="10"/>
    </row>
    <row r="35" spans="3:4">
      <c r="C35" s="10"/>
      <c r="D35" s="10"/>
    </row>
    <row r="36" spans="3:4">
      <c r="C36" s="10"/>
      <c r="D36" s="10"/>
    </row>
    <row r="37" spans="3:4">
      <c r="C37" s="10"/>
      <c r="D37" s="10"/>
    </row>
    <row r="38" spans="3:4">
      <c r="C38" s="10"/>
      <c r="D38" s="10"/>
    </row>
    <row r="39" spans="3:4">
      <c r="C39" s="10"/>
      <c r="D39" s="10"/>
    </row>
    <row r="40" spans="3:4">
      <c r="C40" s="10"/>
      <c r="D40" s="10"/>
    </row>
    <row r="41" spans="3:4">
      <c r="C41" s="10"/>
      <c r="D41" s="10"/>
    </row>
    <row r="42" spans="3:4">
      <c r="C42" s="10"/>
      <c r="D42" s="10"/>
    </row>
    <row r="43" spans="3:4">
      <c r="C43" s="10"/>
      <c r="D43" s="10"/>
    </row>
    <row r="44" spans="3:4">
      <c r="C44" s="10"/>
      <c r="D44" s="10"/>
    </row>
    <row r="45" spans="3:4">
      <c r="C45" s="10"/>
      <c r="D45" s="10"/>
    </row>
    <row r="46" spans="3:4">
      <c r="C46" s="10"/>
      <c r="D46" s="10"/>
    </row>
    <row r="47" spans="3:4">
      <c r="C47" s="10"/>
      <c r="D47" s="10"/>
    </row>
    <row r="48" spans="3:4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</sheetData>
  <protectedRanges>
    <protectedRange sqref="A30:D30" name="Range1"/>
  </protectedRanges>
  <sortState xmlns:xlrd2="http://schemas.microsoft.com/office/spreadsheetml/2017/richdata2" ref="A21:Z38">
    <sortCondition ref="C21:C38"/>
  </sortState>
  <phoneticPr fontId="8" type="noConversion"/>
  <hyperlinks>
    <hyperlink ref="H483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2024-07-29T08:40:07Z</dcterms:modified>
</cp:coreProperties>
</file>