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078DB7E-3DE7-41FC-BEFB-EDBC117D2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26" i="1"/>
  <c r="F26" i="1"/>
  <c r="D9" i="1"/>
  <c r="C9" i="1"/>
  <c r="Q25" i="1"/>
  <c r="Q24" i="1"/>
  <c r="Q22" i="1"/>
  <c r="Q21" i="1"/>
  <c r="G14" i="2"/>
  <c r="C14" i="2"/>
  <c r="G13" i="2"/>
  <c r="C13" i="2"/>
  <c r="G12" i="2"/>
  <c r="C12" i="2"/>
  <c r="G11" i="2"/>
  <c r="C11" i="2"/>
  <c r="E11" i="2"/>
  <c r="G18" i="2"/>
  <c r="C18" i="2"/>
  <c r="G17" i="2"/>
  <c r="C17" i="2"/>
  <c r="G16" i="2"/>
  <c r="C16" i="2"/>
  <c r="G15" i="2"/>
  <c r="C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C17" i="1"/>
  <c r="Q26" i="1"/>
  <c r="Q27" i="1"/>
  <c r="Q28" i="1"/>
  <c r="Q29" i="1"/>
  <c r="Q30" i="1"/>
  <c r="C8" i="1"/>
  <c r="C7" i="1"/>
  <c r="E23" i="1"/>
  <c r="F23" i="1"/>
  <c r="Q23" i="1"/>
  <c r="E18" i="2"/>
  <c r="E13" i="2"/>
  <c r="G25" i="1"/>
  <c r="I25" i="1"/>
  <c r="E22" i="1"/>
  <c r="F22" i="1"/>
  <c r="G22" i="1"/>
  <c r="I22" i="1"/>
  <c r="E28" i="1"/>
  <c r="F28" i="1"/>
  <c r="G28" i="1"/>
  <c r="I28" i="1"/>
  <c r="G27" i="1"/>
  <c r="I27" i="1"/>
  <c r="E25" i="1"/>
  <c r="F25" i="1"/>
  <c r="E30" i="1"/>
  <c r="F30" i="1"/>
  <c r="G30" i="1"/>
  <c r="I30" i="1"/>
  <c r="G24" i="1"/>
  <c r="I24" i="1"/>
  <c r="E21" i="1"/>
  <c r="F21" i="1"/>
  <c r="G21" i="1"/>
  <c r="E27" i="1"/>
  <c r="F27" i="1"/>
  <c r="G23" i="1"/>
  <c r="G26" i="1"/>
  <c r="H26" i="1"/>
  <c r="E24" i="1"/>
  <c r="F24" i="1"/>
  <c r="E29" i="1"/>
  <c r="F29" i="1"/>
  <c r="G29" i="1"/>
  <c r="I29" i="1"/>
  <c r="I21" i="1"/>
  <c r="E12" i="2"/>
  <c r="E16" i="2"/>
  <c r="E15" i="2"/>
  <c r="E14" i="2"/>
  <c r="E17" i="2"/>
  <c r="C12" i="1"/>
  <c r="C11" i="1"/>
  <c r="F15" i="1" l="1"/>
  <c r="O21" i="1"/>
  <c r="O30" i="1"/>
  <c r="O24" i="1"/>
  <c r="O27" i="1"/>
  <c r="O29" i="1"/>
  <c r="O23" i="1"/>
  <c r="O26" i="1"/>
  <c r="O25" i="1"/>
  <c r="C15" i="1"/>
  <c r="O22" i="1"/>
  <c r="O28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<sst xmlns="http://schemas.openxmlformats.org/spreadsheetml/2006/main" count="149" uniqueCount="106">
  <si>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</si>
  <si>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</si>
  <si>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</si>
  <si>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</si>
  <si>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</si>
  <si>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</si>
  <si>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</si>
  <si>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</si>
  <si>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</si>
  <si>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</si>
  <si>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</si>
  <si>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</si>
  <si>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</si>
  <si>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</si>
  <si>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</si>
  <si>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</si>
  <si>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</si>
  <si>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</si>
  <si>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</si>
  <si>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</si>
  <si>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</si>
  <si>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</si>
  <si>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</si>
  <si>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</si>
  <si>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</si>
  <si>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</si>
  <si>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</si>
  <si>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</si>
  <si>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</si>
  <si>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pg</t>
  </si>
  <si>
    <t>PZ 12,262</t>
  </si>
  <si>
    <t>K</t>
  </si>
  <si>
    <t>Locher K</t>
  </si>
  <si>
    <t>BBSAG Bull...20</t>
  </si>
  <si>
    <t>B</t>
  </si>
  <si>
    <t>v</t>
  </si>
  <si>
    <t>ORION 116</t>
  </si>
  <si>
    <t>BBSAG Bull...21</t>
  </si>
  <si>
    <t>N</t>
  </si>
  <si>
    <t>-c</t>
  </si>
  <si>
    <t>Paschke A</t>
  </si>
  <si>
    <t>BBSAG Bull.97</t>
  </si>
  <si>
    <t># of data points:</t>
  </si>
  <si>
    <t>RY Eri / GSC 05882-00102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</si>
  <si>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</si>
  <si>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</si>
  <si>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</si>
  <si>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</si>
  <si>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</si>
  <si>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</si>
  <si>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</si>
  <si>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</si>
  <si>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</si>
  <si>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</si>
  <si>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2420174.240 </t>
  </si>
  <si>
    <t> 10.02.1914 17:45 </t>
  </si>
  <si>
    <t> -0.019 </t>
  </si>
  <si>
    <t>V </t>
  </si>
  <si>
    <t> E.Zinner </t>
  </si>
  <si>
    <t> AN 202.234 </t>
  </si>
  <si>
    <t>2425148.50 </t>
  </si>
  <si>
    <t> 25.09.1927 00:00 </t>
  </si>
  <si>
    <t> -0.05 </t>
  </si>
  <si>
    <t> K.Kordylewski </t>
  </si>
  <si>
    <t> CRAC 25 </t>
  </si>
  <si>
    <t>2432239.030 </t>
  </si>
  <si>
    <t> 22.02.1947 12:43 </t>
  </si>
  <si>
    <t> 0.000 </t>
  </si>
  <si>
    <t> A.Soloviev </t>
  </si>
  <si>
    <t> AC 62.8 </t>
  </si>
  <si>
    <t>2432403.346 </t>
  </si>
  <si>
    <t> 05.08.1947 20:18 </t>
  </si>
  <si>
    <t> PZ 12.268 </t>
  </si>
  <si>
    <t>2434285.490 </t>
  </si>
  <si>
    <t> 29.09.1952 23:45 </t>
  </si>
  <si>
    <t> -0.020 </t>
  </si>
  <si>
    <t>2440504.638 </t>
  </si>
  <si>
    <t> 10.10.1969 03:18 </t>
  </si>
  <si>
    <t> 0.020 </t>
  </si>
  <si>
    <t> K.Locher </t>
  </si>
  <si>
    <t> ORI 115 </t>
  </si>
  <si>
    <t>2440509.612 </t>
  </si>
  <si>
    <t> 15.10.1969 02:41 </t>
  </si>
  <si>
    <t> 0.015 </t>
  </si>
  <si>
    <t> ORI 116 </t>
  </si>
  <si>
    <t>2448232.55 </t>
  </si>
  <si>
    <t> 07.12.1990 01:12 </t>
  </si>
  <si>
    <t> 0.10 </t>
  </si>
  <si>
    <t>E </t>
  </si>
  <si>
    <t>?</t>
  </si>
  <si>
    <t> A.Paschke </t>
  </si>
  <si>
    <t> BBS 97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</si>
  <si>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</si>
  <si>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</si>
  <si>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</si>
  <si>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</si>
  <si>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</si>
  <si>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</si>
  <si>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</si>
  <si>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</si>
  <si>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BAD?</t>
  </si>
  <si>
    <t xml:space="preserve">Mag </t>
  </si>
  <si>
    <t>Next ToM-P</t>
  </si>
  <si>
    <t>Next ToM-S</t>
  </si>
  <si>
    <t>10.03-11.50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</si>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</sst>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8" fillId="0" borderId="4" xfId="0" applyFont="1" applyBorder="1" applyAlignment="1">
      <alignment horizontal="center"/>
    </xf>
    <xf numFmtId="0" fontId="0" fillId="3" borderId="12" xfId="0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22" fontId="21" fillId="0" borderId="15" xfId="0" applyNumberFormat="1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19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Eri - O-C Diagr.</a:t>
            </a:r>
          </a:p>
        </c:rich>
      </c:tx>
      <c:layout>
        <c:manualLayout>
          <c:xMode val="edge"/>
          <c:yMode val="edge"/>
          <c:x val="0.383360864557509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50722664791"/>
          <c:y val="0.15"/>
          <c:w val="0.8091360441859039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">
                  <c:v>0</c:v>
                </c:pt>
                <c:pt idx="5">
                  <c:v>-1.9800000001851004E-2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5-459A-A3CC-5EF7DA72E5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-1.8619999998918502E-2</c:v>
                </c:pt>
                <c:pt idx="1">
                  <c:v>-4.935000000114087E-2</c:v>
                </c:pt>
                <c:pt idx="3">
                  <c:v>1.6999999934341758E-4</c:v>
                </c:pt>
                <c:pt idx="4">
                  <c:v>2.6000000070780516E-4</c:v>
                </c:pt>
                <c:pt idx="6">
                  <c:v>1.9970000001194421E-2</c:v>
                </c:pt>
                <c:pt idx="7">
                  <c:v>1.4699999999720603E-2</c:v>
                </c:pt>
                <c:pt idx="8">
                  <c:v>1.4699999999720603E-2</c:v>
                </c:pt>
                <c:pt idx="9">
                  <c:v>0.10493000000133179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5-459A-A3CC-5EF7DA72E5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5-459A-A3CC-5EF7DA72E5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5-459A-A3CC-5EF7DA72E5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25-459A-A3CC-5EF7DA72E5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25-459A-A3CC-5EF7DA72E5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25-459A-A3CC-5EF7DA72E5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-4.4473469010603277E-2</c:v>
                </c:pt>
                <c:pt idx="1">
                  <c:v>-2.6013877958456992E-2</c:v>
                </c:pt>
                <c:pt idx="2">
                  <c:v>-2.4258461391936575E-2</c:v>
                </c:pt>
                <c:pt idx="3">
                  <c:v>2.9889247022800089E-4</c:v>
                </c:pt>
                <c:pt idx="4">
                  <c:v>9.0866875122982971E-4</c:v>
                </c:pt>
                <c:pt idx="5">
                  <c:v>7.893378879068963E-3</c:v>
                </c:pt>
                <c:pt idx="6">
                  <c:v>3.0972487211532139E-2</c:v>
                </c:pt>
                <c:pt idx="7">
                  <c:v>3.0990965280653406E-2</c:v>
                </c:pt>
                <c:pt idx="8">
                  <c:v>3.0990965280653406E-2</c:v>
                </c:pt>
                <c:pt idx="9">
                  <c:v>5.9650450487739384E-2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25-459A-A3CC-5EF7DA72E514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-95</c:v>
                </c:pt>
                <c:pt idx="2">
                  <c:v>0</c:v>
                </c:pt>
                <c:pt idx="3">
                  <c:v>1329</c:v>
                </c:pt>
                <c:pt idx="4">
                  <c:v>1362</c:v>
                </c:pt>
                <c:pt idx="5">
                  <c:v>1740</c:v>
                </c:pt>
                <c:pt idx="6">
                  <c:v>2989</c:v>
                </c:pt>
                <c:pt idx="7">
                  <c:v>2990</c:v>
                </c:pt>
                <c:pt idx="8">
                  <c:v>2990</c:v>
                </c:pt>
                <c:pt idx="9">
                  <c:v>4541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25-459A-A3CC-5EF7DA72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6944"/>
        <c:axId val="1"/>
      </c:scatterChart>
      <c:valAx>
        <c:axId val="79437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858237744751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70962479608482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34438007647086"/>
          <c:y val="0.91874999999999996"/>
          <c:w val="0.7993481565212178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171450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844406-6014-22BC-B578-F68D99180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4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25</v>
      </c>
    </row>
    <row r="4" spans="1:6">
      <c r="A4" s="8" t="s">
        <v>0</v>
      </c>
      <c r="C4" s="3">
        <v>25621.58</v>
      </c>
      <c r="D4" s="4">
        <v>4.9792699999999996</v>
      </c>
    </row>
    <row r="5" spans="1:6">
      <c r="A5" s="33" t="s">
        <v>93</v>
      </c>
      <c r="B5" s="18"/>
      <c r="C5" s="34">
        <v>-9.5</v>
      </c>
      <c r="D5" s="18" t="s">
        <v>94</v>
      </c>
    </row>
    <row r="6" spans="1:6">
      <c r="A6" s="8" t="s">
        <v>1</v>
      </c>
    </row>
    <row r="7" spans="1:6">
      <c r="A7" t="s">
        <v>2</v>
      </c>
      <c r="C7">
        <f>+C4</f>
        <v>25621.58</v>
      </c>
      <c r="D7" s="50" t="s">
        <v>105</v>
      </c>
    </row>
    <row r="8" spans="1:6">
      <c r="A8" t="s">
        <v>3</v>
      </c>
      <c r="C8">
        <f>+D4</f>
        <v>4.9792699999999996</v>
      </c>
      <c r="D8" s="50" t="s">
        <v>105</v>
      </c>
    </row>
    <row r="9" spans="1:6">
      <c r="A9" s="35" t="s">
        <v>95</v>
      </c>
      <c r="B9" s="36">
        <v>21</v>
      </c>
      <c r="C9" s="37" t="str">
        <f>"F"&amp;B9</f>
        <v>F21</v>
      </c>
      <c r="D9" s="11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8">
        <f ca="1">INTERCEPT(INDIRECT($D$9):G978,INDIRECT($C$9):F978)</f>
        <v>-2.4258461391936575E-2</v>
      </c>
      <c r="D11" s="6"/>
    </row>
    <row r="12" spans="1:6">
      <c r="A12" t="s">
        <v>17</v>
      </c>
      <c r="C12" s="38">
        <f ca="1">SLOPE(INDIRECT($D$9):G978,INDIRECT($C$9):F978)</f>
        <v>1.8478069121267553E-5</v>
      </c>
      <c r="D12" s="6"/>
      <c r="E12" s="42" t="s">
        <v>101</v>
      </c>
      <c r="F12" s="43" t="s">
        <v>104</v>
      </c>
    </row>
    <row r="13" spans="1:6">
      <c r="A13" t="s">
        <v>19</v>
      </c>
      <c r="C13" s="6" t="s">
        <v>14</v>
      </c>
      <c r="D13" s="6"/>
      <c r="E13" s="44" t="s">
        <v>96</v>
      </c>
      <c r="F13" s="45">
        <v>1</v>
      </c>
    </row>
    <row r="14" spans="1:6">
      <c r="A14" t="s">
        <v>24</v>
      </c>
      <c r="E14" s="44" t="s">
        <v>97</v>
      </c>
      <c r="F14" s="46">
        <f ca="1">NOW()+15018.5+$C$5/24</f>
        <v>60520.868006712961</v>
      </c>
    </row>
    <row r="15" spans="1:6">
      <c r="A15" s="5" t="s">
        <v>18</v>
      </c>
      <c r="C15" s="12">
        <f ca="1">(C7+C11)+(C8+C12)*INT(MAX(F21:F3533))</f>
        <v>48232.504720450488</v>
      </c>
      <c r="E15" s="44" t="s">
        <v>98</v>
      </c>
      <c r="F15" s="46">
        <f ca="1">ROUND(2*($F$14-$C$7)/$C$8,0)/2+$F$13</f>
        <v>7010</v>
      </c>
    </row>
    <row r="16" spans="1:6">
      <c r="A16" s="8" t="s">
        <v>4</v>
      </c>
      <c r="C16" s="13">
        <f ca="1">+C8+C12</f>
        <v>4.9792884780691207</v>
      </c>
      <c r="E16" s="44" t="s">
        <v>99</v>
      </c>
      <c r="F16" s="46">
        <f ca="1">ROUND(2*($F$14-$C$15)/$C$16,0)/2+$F$13</f>
        <v>2469</v>
      </c>
    </row>
    <row r="17" spans="1:34" ht="13.5" thickBot="1">
      <c r="A17" s="14" t="s">
        <v>42</v>
      </c>
      <c r="C17">
        <f>COUNT(C21:C2191)</f>
        <v>10</v>
      </c>
      <c r="E17" s="44" t="s">
        <v>102</v>
      </c>
      <c r="F17" s="47">
        <f ca="1">+$C$15+$C$16*$F$16-15018.5-$C$5/24</f>
        <v>45508.263806136485</v>
      </c>
    </row>
    <row r="18" spans="1:34">
      <c r="A18" s="8" t="s">
        <v>5</v>
      </c>
      <c r="C18" s="3">
        <f ca="1">+C15</f>
        <v>48232.504720450488</v>
      </c>
      <c r="D18" s="4">
        <f ca="1">+C16</f>
        <v>4.9792884780691207</v>
      </c>
      <c r="E18" s="49" t="s">
        <v>103</v>
      </c>
      <c r="F18" s="48">
        <f ca="1">+($C$15+$C$16*$F$16)-($C$16/2)-15018.5-$C$5/24</f>
        <v>45505.774161897447</v>
      </c>
    </row>
    <row r="19" spans="1:34" ht="13.5" thickTop="1">
      <c r="E19" s="39"/>
      <c r="F19" s="40"/>
    </row>
    <row r="20" spans="1:34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29</v>
      </c>
      <c r="I20" s="10" t="s">
        <v>53</v>
      </c>
      <c r="J20" s="10" t="s">
        <v>48</v>
      </c>
      <c r="K20" s="10" t="s">
        <v>46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41" t="s">
        <v>100</v>
      </c>
    </row>
    <row r="21" spans="1:34">
      <c r="A21" s="30" t="s">
        <v>59</v>
      </c>
      <c r="B21" s="32" t="s">
        <v>92</v>
      </c>
      <c r="C21" s="31">
        <v>20174.240000000002</v>
      </c>
      <c r="D21" s="31" t="s">
        <v>53</v>
      </c>
      <c r="E21">
        <f t="shared" ref="E21:E30" si="0">+(C21-C$7)/C$8</f>
        <v>-1094.0037395039835</v>
      </c>
      <c r="F21">
        <f t="shared" ref="F21:F30" si="1">ROUND(2*E21,0)/2</f>
        <v>-1094</v>
      </c>
      <c r="G21">
        <f t="shared" ref="G21:G30" si="2">+C21-(C$7+F21*C$8)</f>
        <v>-1.8619999998918502E-2</v>
      </c>
      <c r="I21">
        <f>+G21</f>
        <v>-1.8619999998918502E-2</v>
      </c>
      <c r="O21">
        <f t="shared" ref="O21:O30" ca="1" si="3">+C$11+C$12*$F21</f>
        <v>-4.4473469010603277E-2</v>
      </c>
      <c r="Q21" s="2">
        <f t="shared" ref="Q21:Q30" si="4">+C21-15018.5</f>
        <v>5155.7400000000016</v>
      </c>
    </row>
    <row r="22" spans="1:34">
      <c r="A22" s="30" t="s">
        <v>64</v>
      </c>
      <c r="B22" s="32" t="s">
        <v>92</v>
      </c>
      <c r="C22" s="31">
        <v>25148.5</v>
      </c>
      <c r="D22" s="31" t="s">
        <v>53</v>
      </c>
      <c r="E22">
        <f t="shared" si="0"/>
        <v>-95.009911091385234</v>
      </c>
      <c r="F22">
        <f t="shared" si="1"/>
        <v>-95</v>
      </c>
      <c r="G22">
        <f t="shared" si="2"/>
        <v>-4.935000000114087E-2</v>
      </c>
      <c r="I22">
        <f>+G22</f>
        <v>-4.935000000114087E-2</v>
      </c>
      <c r="O22">
        <f t="shared" ca="1" si="3"/>
        <v>-2.6013877958456992E-2</v>
      </c>
      <c r="Q22" s="2">
        <f t="shared" si="4"/>
        <v>10130</v>
      </c>
    </row>
    <row r="23" spans="1:34">
      <c r="A23" t="s">
        <v>12</v>
      </c>
      <c r="C23" s="15">
        <v>25621.58</v>
      </c>
      <c r="D23" s="15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 s="11">
        <v>0</v>
      </c>
      <c r="O23">
        <f t="shared" ca="1" si="3"/>
        <v>-2.4258461391936575E-2</v>
      </c>
      <c r="Q23" s="2">
        <f t="shared" si="4"/>
        <v>10603.080000000002</v>
      </c>
    </row>
    <row r="24" spans="1:34">
      <c r="A24" s="30" t="s">
        <v>69</v>
      </c>
      <c r="B24" s="32" t="s">
        <v>92</v>
      </c>
      <c r="C24" s="31">
        <v>32239.03</v>
      </c>
      <c r="D24" s="31" t="s">
        <v>53</v>
      </c>
      <c r="E24">
        <f t="shared" si="0"/>
        <v>1329.0000341415505</v>
      </c>
      <c r="F24">
        <f t="shared" si="1"/>
        <v>1329</v>
      </c>
      <c r="G24">
        <f t="shared" si="2"/>
        <v>1.6999999934341758E-4</v>
      </c>
      <c r="I24">
        <f>+G24</f>
        <v>1.6999999934341758E-4</v>
      </c>
      <c r="O24">
        <f t="shared" ca="1" si="3"/>
        <v>2.9889247022800089E-4</v>
      </c>
      <c r="Q24" s="2">
        <f t="shared" si="4"/>
        <v>17220.53</v>
      </c>
    </row>
    <row r="25" spans="1:34">
      <c r="A25" s="30" t="s">
        <v>72</v>
      </c>
      <c r="B25" s="32" t="s">
        <v>92</v>
      </c>
      <c r="C25" s="31">
        <v>32403.346000000001</v>
      </c>
      <c r="D25" s="31" t="s">
        <v>53</v>
      </c>
      <c r="E25">
        <f t="shared" si="0"/>
        <v>1362.0000522164896</v>
      </c>
      <c r="F25">
        <f t="shared" si="1"/>
        <v>1362</v>
      </c>
      <c r="G25">
        <f t="shared" si="2"/>
        <v>2.6000000070780516E-4</v>
      </c>
      <c r="I25">
        <f>+G25</f>
        <v>2.6000000070780516E-4</v>
      </c>
      <c r="O25">
        <f t="shared" ca="1" si="3"/>
        <v>9.0866875122982971E-4</v>
      </c>
      <c r="Q25" s="2">
        <f t="shared" si="4"/>
        <v>17384.846000000001</v>
      </c>
    </row>
    <row r="26" spans="1:34">
      <c r="A26" t="s">
        <v>30</v>
      </c>
      <c r="C26" s="16">
        <v>34285.49</v>
      </c>
      <c r="D26" s="15"/>
      <c r="E26">
        <f t="shared" si="0"/>
        <v>1739.9960235134863</v>
      </c>
      <c r="F26">
        <f t="shared" si="1"/>
        <v>1740</v>
      </c>
      <c r="G26">
        <f t="shared" si="2"/>
        <v>-1.9800000001851004E-2</v>
      </c>
      <c r="H26">
        <f>+G26</f>
        <v>-1.9800000001851004E-2</v>
      </c>
      <c r="O26">
        <f t="shared" ca="1" si="3"/>
        <v>7.893378879068963E-3</v>
      </c>
      <c r="Q26" s="2">
        <f t="shared" si="4"/>
        <v>19266.989999999998</v>
      </c>
      <c r="AB26" t="s">
        <v>29</v>
      </c>
      <c r="AH26" t="s">
        <v>31</v>
      </c>
    </row>
    <row r="27" spans="1:34">
      <c r="A27" t="s">
        <v>33</v>
      </c>
      <c r="C27" s="16">
        <v>40504.637999999999</v>
      </c>
      <c r="D27" s="15"/>
      <c r="E27">
        <f t="shared" si="0"/>
        <v>2989.0040106280635</v>
      </c>
      <c r="F27">
        <f t="shared" si="1"/>
        <v>2989</v>
      </c>
      <c r="G27">
        <f t="shared" si="2"/>
        <v>1.9970000001194421E-2</v>
      </c>
      <c r="I27">
        <f>+G27</f>
        <v>1.9970000001194421E-2</v>
      </c>
      <c r="O27">
        <f t="shared" ca="1" si="3"/>
        <v>3.0972487211532139E-2</v>
      </c>
      <c r="Q27" s="2">
        <f t="shared" si="4"/>
        <v>25486.137999999999</v>
      </c>
      <c r="AD27">
        <v>19</v>
      </c>
      <c r="AF27" t="s">
        <v>32</v>
      </c>
      <c r="AH27" t="s">
        <v>34</v>
      </c>
    </row>
    <row r="28" spans="1:34">
      <c r="A28" t="s">
        <v>36</v>
      </c>
      <c r="C28" s="16">
        <v>40509.612000000001</v>
      </c>
      <c r="D28" s="15"/>
      <c r="E28">
        <f t="shared" si="0"/>
        <v>2990.0029522399868</v>
      </c>
      <c r="F28">
        <f t="shared" si="1"/>
        <v>2990</v>
      </c>
      <c r="G28">
        <f t="shared" si="2"/>
        <v>1.4699999999720603E-2</v>
      </c>
      <c r="I28">
        <f>+G28</f>
        <v>1.4699999999720603E-2</v>
      </c>
      <c r="O28">
        <f t="shared" ca="1" si="3"/>
        <v>3.0990965280653406E-2</v>
      </c>
      <c r="Q28" s="2">
        <f t="shared" si="4"/>
        <v>25491.112000000001</v>
      </c>
      <c r="AB28" t="s">
        <v>35</v>
      </c>
      <c r="AH28" t="s">
        <v>31</v>
      </c>
    </row>
    <row r="29" spans="1:34">
      <c r="A29" t="s">
        <v>37</v>
      </c>
      <c r="C29" s="16">
        <v>40509.612000000001</v>
      </c>
      <c r="D29" s="15"/>
      <c r="E29">
        <f t="shared" si="0"/>
        <v>2990.0029522399868</v>
      </c>
      <c r="F29">
        <f t="shared" si="1"/>
        <v>2990</v>
      </c>
      <c r="G29">
        <f t="shared" si="2"/>
        <v>1.4699999999720603E-2</v>
      </c>
      <c r="I29">
        <f>+G29</f>
        <v>1.4699999999720603E-2</v>
      </c>
      <c r="O29">
        <f t="shared" ca="1" si="3"/>
        <v>3.0990965280653406E-2</v>
      </c>
      <c r="Q29" s="2">
        <f t="shared" si="4"/>
        <v>25491.112000000001</v>
      </c>
      <c r="AD29">
        <v>14</v>
      </c>
      <c r="AF29" t="s">
        <v>32</v>
      </c>
      <c r="AH29" t="s">
        <v>34</v>
      </c>
    </row>
    <row r="30" spans="1:34">
      <c r="A30" t="s">
        <v>41</v>
      </c>
      <c r="C30" s="16">
        <v>48232.55</v>
      </c>
      <c r="D30" s="15">
        <v>0.01</v>
      </c>
      <c r="E30">
        <f t="shared" si="0"/>
        <v>4541.0210733701933</v>
      </c>
      <c r="F30">
        <f t="shared" si="1"/>
        <v>4541</v>
      </c>
      <c r="G30">
        <f t="shared" si="2"/>
        <v>0.10493000000133179</v>
      </c>
      <c r="I30">
        <f>+G30</f>
        <v>0.10493000000133179</v>
      </c>
      <c r="O30">
        <f t="shared" ca="1" si="3"/>
        <v>5.9650450487739384E-2</v>
      </c>
      <c r="Q30" s="2">
        <f t="shared" si="4"/>
        <v>33214.050000000003</v>
      </c>
      <c r="AA30" t="s">
        <v>38</v>
      </c>
      <c r="AB30" t="s">
        <v>35</v>
      </c>
      <c r="AC30" t="s">
        <v>39</v>
      </c>
      <c r="AD30">
        <v>66</v>
      </c>
      <c r="AF30" t="s">
        <v>40</v>
      </c>
      <c r="AH30" t="s">
        <v>34</v>
      </c>
    </row>
    <row r="31" spans="1:34">
      <c r="B31" s="6"/>
      <c r="C31" s="15"/>
      <c r="D31" s="15"/>
    </row>
    <row r="32" spans="1:3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0"/>
  <sheetViews>
    <sheetView workbookViewId="0">
      <selection activeCell="A15" sqref="A15:D18"/>
    </sheetView>
  </sheetViews>
  <sheetFormatPr defaultRowHeight="12.75"/>
  <cols>
    <col min="1" max="1" width="19.7109375" style="15" customWidth="1"/>
    <col min="2" max="2" width="4.42578125" style="18" customWidth="1"/>
    <col min="3" max="3" width="12.7109375" style="15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5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17" t="s">
        <v>44</v>
      </c>
      <c r="I1" s="19" t="s">
        <v>45</v>
      </c>
      <c r="J1" s="20" t="s">
        <v>46</v>
      </c>
    </row>
    <row r="2" spans="1:16">
      <c r="I2" s="21" t="s">
        <v>47</v>
      </c>
      <c r="J2" s="22" t="s">
        <v>48</v>
      </c>
    </row>
    <row r="3" spans="1:16">
      <c r="A3" s="23" t="s">
        <v>49</v>
      </c>
      <c r="I3" s="21" t="s">
        <v>50</v>
      </c>
      <c r="J3" s="22" t="s">
        <v>29</v>
      </c>
    </row>
    <row r="4" spans="1:16">
      <c r="I4" s="21" t="s">
        <v>51</v>
      </c>
      <c r="J4" s="22" t="s">
        <v>29</v>
      </c>
    </row>
    <row r="5" spans="1:16" ht="13.5" thickBot="1">
      <c r="I5" s="24" t="s">
        <v>52</v>
      </c>
      <c r="J5" s="25" t="s">
        <v>53</v>
      </c>
    </row>
    <row r="10" spans="1:16" ht="13.5" thickBot="1"/>
    <row r="11" spans="1:16" ht="12.75" customHeight="1" thickBot="1">
      <c r="A11" s="15" t="str">
        <f t="shared" ref="A11:A18" si="0">P11</f>
        <v> PZ 12.268 </v>
      </c>
      <c r="B11" s="6" t="str">
        <f t="shared" ref="B11:B18" si="1">IF(H11=INT(H11),"I","II")</f>
        <v>I</v>
      </c>
      <c r="C11" s="15">
        <f t="shared" ref="C11:C18" si="2">1*G11</f>
        <v>34285.49</v>
      </c>
      <c r="D11" s="18" t="str">
        <f t="shared" ref="D11:D18" si="3">VLOOKUP(F11,I$1:J$5,2,FALSE)</f>
        <v>vis</v>
      </c>
      <c r="E11" s="26">
        <f>VLOOKUP(C11,Active!C$21:E$973,3,FALSE)</f>
        <v>1739.9960235134863</v>
      </c>
      <c r="F11" s="6" t="s">
        <v>52</v>
      </c>
      <c r="G11" s="18" t="str">
        <f t="shared" ref="G11:G18" si="4">MID(I11,3,LEN(I11)-3)</f>
        <v>34285.490</v>
      </c>
      <c r="H11" s="15">
        <f t="shared" ref="H11:H18" si="5">1*K11</f>
        <v>1740</v>
      </c>
      <c r="I11" s="27" t="s">
        <v>73</v>
      </c>
      <c r="J11" s="28" t="s">
        <v>74</v>
      </c>
      <c r="K11" s="27">
        <v>1740</v>
      </c>
      <c r="L11" s="27" t="s">
        <v>75</v>
      </c>
      <c r="M11" s="28" t="s">
        <v>57</v>
      </c>
      <c r="N11" s="28"/>
      <c r="O11" s="29" t="s">
        <v>68</v>
      </c>
      <c r="P11" s="29" t="s">
        <v>72</v>
      </c>
    </row>
    <row r="12" spans="1:16" ht="12.75" customHeight="1" thickBot="1">
      <c r="A12" s="15" t="str">
        <f t="shared" si="0"/>
        <v> ORI 115 </v>
      </c>
      <c r="B12" s="6" t="str">
        <f t="shared" si="1"/>
        <v>I</v>
      </c>
      <c r="C12" s="15">
        <f t="shared" si="2"/>
        <v>40504.637999999999</v>
      </c>
      <c r="D12" s="18" t="str">
        <f t="shared" si="3"/>
        <v>vis</v>
      </c>
      <c r="E12" s="26">
        <f>VLOOKUP(C12,Active!C$21:E$973,3,FALSE)</f>
        <v>2989.0040106280635</v>
      </c>
      <c r="F12" s="6" t="s">
        <v>52</v>
      </c>
      <c r="G12" s="18" t="str">
        <f t="shared" si="4"/>
        <v>40504.638</v>
      </c>
      <c r="H12" s="15">
        <f t="shared" si="5"/>
        <v>2989</v>
      </c>
      <c r="I12" s="27" t="s">
        <v>76</v>
      </c>
      <c r="J12" s="28" t="s">
        <v>77</v>
      </c>
      <c r="K12" s="27">
        <v>2989</v>
      </c>
      <c r="L12" s="27" t="s">
        <v>78</v>
      </c>
      <c r="M12" s="28" t="s">
        <v>57</v>
      </c>
      <c r="N12" s="28"/>
      <c r="O12" s="29" t="s">
        <v>79</v>
      </c>
      <c r="P12" s="29" t="s">
        <v>80</v>
      </c>
    </row>
    <row r="13" spans="1:16" ht="12.75" customHeight="1" thickBot="1">
      <c r="A13" s="15" t="str">
        <f t="shared" si="0"/>
        <v> ORI 116 </v>
      </c>
      <c r="B13" s="6" t="str">
        <f t="shared" si="1"/>
        <v>I</v>
      </c>
      <c r="C13" s="15">
        <f t="shared" si="2"/>
        <v>40509.612000000001</v>
      </c>
      <c r="D13" s="18" t="str">
        <f t="shared" si="3"/>
        <v>vis</v>
      </c>
      <c r="E13" s="26">
        <f>VLOOKUP(C13,Active!C$21:E$973,3,FALSE)</f>
        <v>2990.0029522399868</v>
      </c>
      <c r="F13" s="6" t="s">
        <v>52</v>
      </c>
      <c r="G13" s="18" t="str">
        <f t="shared" si="4"/>
        <v>40509.612</v>
      </c>
      <c r="H13" s="15">
        <f t="shared" si="5"/>
        <v>2990</v>
      </c>
      <c r="I13" s="27" t="s">
        <v>81</v>
      </c>
      <c r="J13" s="28" t="s">
        <v>82</v>
      </c>
      <c r="K13" s="27">
        <v>2990</v>
      </c>
      <c r="L13" s="27" t="s">
        <v>83</v>
      </c>
      <c r="M13" s="28" t="s">
        <v>57</v>
      </c>
      <c r="N13" s="28"/>
      <c r="O13" s="29" t="s">
        <v>79</v>
      </c>
      <c r="P13" s="29" t="s">
        <v>84</v>
      </c>
    </row>
    <row r="14" spans="1:16" ht="12.75" customHeight="1" thickBot="1">
      <c r="A14" s="15" t="str">
        <f t="shared" si="0"/>
        <v> BBS 97 </v>
      </c>
      <c r="B14" s="6" t="str">
        <f t="shared" si="1"/>
        <v>I</v>
      </c>
      <c r="C14" s="15">
        <f t="shared" si="2"/>
        <v>48232.55</v>
      </c>
      <c r="D14" s="18" t="str">
        <f t="shared" si="3"/>
        <v>vis</v>
      </c>
      <c r="E14" s="26">
        <f>VLOOKUP(C14,Active!C$21:E$973,3,FALSE)</f>
        <v>4541.0210733701933</v>
      </c>
      <c r="F14" s="6" t="s">
        <v>52</v>
      </c>
      <c r="G14" s="18" t="str">
        <f t="shared" si="4"/>
        <v>48232.55</v>
      </c>
      <c r="H14" s="15">
        <f t="shared" si="5"/>
        <v>4541</v>
      </c>
      <c r="I14" s="27" t="s">
        <v>85</v>
      </c>
      <c r="J14" s="28" t="s">
        <v>86</v>
      </c>
      <c r="K14" s="27">
        <v>4541</v>
      </c>
      <c r="L14" s="27" t="s">
        <v>87</v>
      </c>
      <c r="M14" s="28" t="s">
        <v>88</v>
      </c>
      <c r="N14" s="28" t="s">
        <v>89</v>
      </c>
      <c r="O14" s="29" t="s">
        <v>90</v>
      </c>
      <c r="P14" s="29" t="s">
        <v>91</v>
      </c>
    </row>
    <row r="15" spans="1:16" ht="12.75" customHeight="1" thickBot="1">
      <c r="A15" s="15" t="str">
        <f t="shared" si="0"/>
        <v> AN 202.234 </v>
      </c>
      <c r="B15" s="6" t="str">
        <f t="shared" si="1"/>
        <v>I</v>
      </c>
      <c r="C15" s="15">
        <f t="shared" si="2"/>
        <v>20174.240000000002</v>
      </c>
      <c r="D15" s="18" t="str">
        <f t="shared" si="3"/>
        <v>vis</v>
      </c>
      <c r="E15" s="26">
        <f>VLOOKUP(C15,Active!C$21:E$973,3,FALSE)</f>
        <v>-1094.0037395039835</v>
      </c>
      <c r="F15" s="6" t="s">
        <v>52</v>
      </c>
      <c r="G15" s="18" t="str">
        <f t="shared" si="4"/>
        <v>20174.240</v>
      </c>
      <c r="H15" s="15">
        <f t="shared" si="5"/>
        <v>-1094</v>
      </c>
      <c r="I15" s="27" t="s">
        <v>54</v>
      </c>
      <c r="J15" s="28" t="s">
        <v>55</v>
      </c>
      <c r="K15" s="27">
        <v>-1094</v>
      </c>
      <c r="L15" s="27" t="s">
        <v>56</v>
      </c>
      <c r="M15" s="28" t="s">
        <v>57</v>
      </c>
      <c r="N15" s="28"/>
      <c r="O15" s="29" t="s">
        <v>58</v>
      </c>
      <c r="P15" s="29" t="s">
        <v>59</v>
      </c>
    </row>
    <row r="16" spans="1:16" ht="12.75" customHeight="1" thickBot="1">
      <c r="A16" s="15" t="str">
        <f t="shared" si="0"/>
        <v> CRAC 25 </v>
      </c>
      <c r="B16" s="6" t="str">
        <f t="shared" si="1"/>
        <v>I</v>
      </c>
      <c r="C16" s="15">
        <f t="shared" si="2"/>
        <v>25148.5</v>
      </c>
      <c r="D16" s="18" t="str">
        <f t="shared" si="3"/>
        <v>vis</v>
      </c>
      <c r="E16" s="26">
        <f>VLOOKUP(C16,Active!C$21:E$973,3,FALSE)</f>
        <v>-95.009911091385234</v>
      </c>
      <c r="F16" s="6" t="s">
        <v>52</v>
      </c>
      <c r="G16" s="18" t="str">
        <f t="shared" si="4"/>
        <v>25148.50</v>
      </c>
      <c r="H16" s="15">
        <f t="shared" si="5"/>
        <v>-95</v>
      </c>
      <c r="I16" s="27" t="s">
        <v>60</v>
      </c>
      <c r="J16" s="28" t="s">
        <v>61</v>
      </c>
      <c r="K16" s="27">
        <v>-95</v>
      </c>
      <c r="L16" s="27" t="s">
        <v>62</v>
      </c>
      <c r="M16" s="28" t="s">
        <v>57</v>
      </c>
      <c r="N16" s="28"/>
      <c r="O16" s="29" t="s">
        <v>63</v>
      </c>
      <c r="P16" s="29" t="s">
        <v>64</v>
      </c>
    </row>
    <row r="17" spans="1:16" ht="12.75" customHeight="1" thickBot="1">
      <c r="A17" s="15" t="str">
        <f t="shared" si="0"/>
        <v> AC 62.8 </v>
      </c>
      <c r="B17" s="6" t="str">
        <f t="shared" si="1"/>
        <v>I</v>
      </c>
      <c r="C17" s="15">
        <f t="shared" si="2"/>
        <v>32239.03</v>
      </c>
      <c r="D17" s="18" t="str">
        <f t="shared" si="3"/>
        <v>vis</v>
      </c>
      <c r="E17" s="26">
        <f>VLOOKUP(C17,Active!C$21:E$973,3,FALSE)</f>
        <v>1329.0000341415505</v>
      </c>
      <c r="F17" s="6" t="s">
        <v>52</v>
      </c>
      <c r="G17" s="18" t="str">
        <f t="shared" si="4"/>
        <v>32239.030</v>
      </c>
      <c r="H17" s="15">
        <f t="shared" si="5"/>
        <v>1329</v>
      </c>
      <c r="I17" s="27" t="s">
        <v>65</v>
      </c>
      <c r="J17" s="28" t="s">
        <v>66</v>
      </c>
      <c r="K17" s="27">
        <v>1329</v>
      </c>
      <c r="L17" s="27" t="s">
        <v>67</v>
      </c>
      <c r="M17" s="28" t="s">
        <v>57</v>
      </c>
      <c r="N17" s="28"/>
      <c r="O17" s="29" t="s">
        <v>68</v>
      </c>
      <c r="P17" s="29" t="s">
        <v>69</v>
      </c>
    </row>
    <row r="18" spans="1:16" ht="12.75" customHeight="1" thickBot="1">
      <c r="A18" s="15" t="str">
        <f t="shared" si="0"/>
        <v> PZ 12.268 </v>
      </c>
      <c r="B18" s="6" t="str">
        <f t="shared" si="1"/>
        <v>I</v>
      </c>
      <c r="C18" s="15">
        <f t="shared" si="2"/>
        <v>32403.346000000001</v>
      </c>
      <c r="D18" s="18" t="str">
        <f t="shared" si="3"/>
        <v>vis</v>
      </c>
      <c r="E18" s="26">
        <f>VLOOKUP(C18,Active!C$21:E$973,3,FALSE)</f>
        <v>1362.0000522164896</v>
      </c>
      <c r="F18" s="6" t="s">
        <v>52</v>
      </c>
      <c r="G18" s="18" t="str">
        <f t="shared" si="4"/>
        <v>32403.346</v>
      </c>
      <c r="H18" s="15">
        <f t="shared" si="5"/>
        <v>1362</v>
      </c>
      <c r="I18" s="27" t="s">
        <v>70</v>
      </c>
      <c r="J18" s="28" t="s">
        <v>71</v>
      </c>
      <c r="K18" s="27">
        <v>1362</v>
      </c>
      <c r="L18" s="27" t="s">
        <v>67</v>
      </c>
      <c r="M18" s="28" t="s">
        <v>57</v>
      </c>
      <c r="N18" s="28"/>
      <c r="O18" s="29" t="s">
        <v>68</v>
      </c>
      <c r="P18" s="29" t="s">
        <v>72</v>
      </c>
    </row>
    <row r="19" spans="1:16">
      <c r="B19" s="6"/>
      <c r="F19" s="6"/>
    </row>
    <row r="20" spans="1:16">
      <c r="B20" s="6"/>
      <c r="F20" s="6"/>
    </row>
    <row r="21" spans="1:16">
      <c r="B21" s="6"/>
      <c r="F21" s="6"/>
    </row>
    <row r="22" spans="1:16">
      <c r="B22" s="6"/>
      <c r="F22" s="6"/>
    </row>
    <row r="23" spans="1:16">
      <c r="B23" s="6"/>
      <c r="F23" s="6"/>
    </row>
    <row r="24" spans="1:16">
      <c r="B24" s="6"/>
      <c r="F24" s="6"/>
    </row>
    <row r="25" spans="1:16">
      <c r="B25" s="6"/>
      <c r="F25" s="6"/>
    </row>
    <row r="26" spans="1:16">
      <c r="B26" s="6"/>
      <c r="F26" s="6"/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2024-07-29T08:49:55Z</dcterms:modified>
</cp:coreProperties>
</file>