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0A20A36-3A66-44ED-AE3F-DFF5FEE60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1" i="1"/>
  <c r="F31" i="1"/>
  <c r="F16" i="1"/>
  <c r="F17" i="1" s="1"/>
  <c r="D9" i="1"/>
  <c r="C9" i="1"/>
  <c r="Q21" i="1"/>
  <c r="Q22" i="1"/>
  <c r="Q23" i="1"/>
  <c r="Q24" i="1"/>
  <c r="Q25" i="1"/>
  <c r="Q26" i="1"/>
  <c r="Q27" i="1"/>
  <c r="Q29" i="1"/>
  <c r="Q30" i="1"/>
  <c r="Q34" i="1"/>
  <c r="G23" i="2"/>
  <c r="C23" i="2"/>
  <c r="G13" i="2"/>
  <c r="C13" i="2"/>
  <c r="G12" i="2"/>
  <c r="C12" i="2"/>
  <c r="G11" i="2"/>
  <c r="C11" i="2"/>
  <c r="E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23" i="2"/>
  <c r="D23" i="2"/>
  <c r="B23" i="2"/>
  <c r="A23" i="2"/>
  <c r="H13" i="2"/>
  <c r="B13" i="2"/>
  <c r="D13" i="2"/>
  <c r="A13" i="2"/>
  <c r="H12" i="2"/>
  <c r="D12" i="2"/>
  <c r="B12" i="2"/>
  <c r="A12" i="2"/>
  <c r="H11" i="2"/>
  <c r="B11" i="2"/>
  <c r="D11" i="2"/>
  <c r="A1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C17" i="1"/>
  <c r="Q31" i="1"/>
  <c r="Q32" i="1"/>
  <c r="Q33" i="1"/>
  <c r="C7" i="1"/>
  <c r="E21" i="1"/>
  <c r="F21" i="1"/>
  <c r="C8" i="1"/>
  <c r="Q28" i="1"/>
  <c r="E18" i="2"/>
  <c r="E13" i="2"/>
  <c r="E14" i="2"/>
  <c r="E16" i="2"/>
  <c r="E34" i="1"/>
  <c r="F34" i="1"/>
  <c r="G34" i="1"/>
  <c r="I34" i="1"/>
  <c r="E26" i="1"/>
  <c r="F26" i="1"/>
  <c r="E23" i="1"/>
  <c r="F23" i="1"/>
  <c r="G23" i="1"/>
  <c r="I23" i="1"/>
  <c r="G30" i="1"/>
  <c r="I30" i="1"/>
  <c r="E28" i="1"/>
  <c r="F28" i="1"/>
  <c r="G28" i="1"/>
  <c r="H28" i="1"/>
  <c r="E33" i="1"/>
  <c r="F33" i="1"/>
  <c r="G33" i="1"/>
  <c r="I33" i="1"/>
  <c r="E25" i="1"/>
  <c r="F25" i="1"/>
  <c r="G25" i="1"/>
  <c r="I25" i="1"/>
  <c r="E30" i="1"/>
  <c r="F30" i="1"/>
  <c r="E22" i="1"/>
  <c r="F22" i="1"/>
  <c r="G22" i="1"/>
  <c r="I22" i="1"/>
  <c r="E27" i="1"/>
  <c r="G21" i="1"/>
  <c r="E32" i="1"/>
  <c r="F32" i="1"/>
  <c r="G32" i="1"/>
  <c r="I32" i="1"/>
  <c r="G26" i="1"/>
  <c r="I26" i="1"/>
  <c r="E24" i="1"/>
  <c r="F24" i="1"/>
  <c r="G24" i="1"/>
  <c r="I24" i="1"/>
  <c r="G31" i="1"/>
  <c r="I31" i="1"/>
  <c r="E29" i="1"/>
  <c r="F29" i="1"/>
  <c r="G29" i="1"/>
  <c r="I29" i="1"/>
  <c r="E17" i="2"/>
  <c r="E23" i="2"/>
  <c r="I21" i="1"/>
  <c r="E20" i="2"/>
  <c r="F27" i="1"/>
  <c r="G27" i="1"/>
  <c r="E21" i="2"/>
  <c r="E15" i="2"/>
  <c r="E12" i="2"/>
  <c r="E19" i="2"/>
  <c r="E22" i="2"/>
  <c r="I27" i="1"/>
  <c r="C11" i="1"/>
  <c r="C12" i="1"/>
  <c r="O35" i="1" l="1"/>
  <c r="C16" i="1"/>
  <c r="D18" i="1" s="1"/>
  <c r="O24" i="1"/>
  <c r="O34" i="1"/>
  <c r="O21" i="1"/>
  <c r="O23" i="1"/>
  <c r="C15" i="1"/>
  <c r="O22" i="1"/>
  <c r="O26" i="1"/>
  <c r="O25" i="1"/>
  <c r="O30" i="1"/>
  <c r="O33" i="1"/>
  <c r="O32" i="1"/>
  <c r="O29" i="1"/>
  <c r="O28" i="1"/>
  <c r="O27" i="1"/>
  <c r="O31" i="1"/>
  <c r="C18" i="1" l="1"/>
  <c r="F18" i="1"/>
  <c r="F19" i="1" s="1"/>
</calcChain>
</file>

<file path=xl/sharedStrings.xml><?xml version="1.0" encoding="utf-8"?>
<sst xmlns="http://schemas.openxmlformats.org/spreadsheetml/2006/main" count="193" uniqueCount="120">
  <si>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</si>
  <si>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</si>
  <si>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</si>
  <si>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</si>
  <si>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</si>
  <si>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</si>
  <si>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</si>
  <si>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</si>
  <si>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</si>
  <si>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</si>
  <si>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</si>
  <si>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</si>
  <si>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</si>
  <si>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</si>
  <si>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</si>
  <si>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</si>
  <si>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</si>
  <si>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</si>
  <si>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</si>
  <si>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</si>
  <si>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</si>
  <si>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</si>
  <si>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</si>
  <si>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</si>
  <si>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</si>
  <si>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</si>
  <si>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</si>
  <si>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</si>
  <si>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</si>
  <si>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</t>
  </si>
  <si>
    <t>Locher K</t>
  </si>
  <si>
    <t>BBSAG Bull.32</t>
  </si>
  <si>
    <t>B</t>
  </si>
  <si>
    <t>BBSAG Bull.58</t>
  </si>
  <si>
    <t>BBSAG Bull.97</t>
  </si>
  <si>
    <t>AE Gem / gsc 1905-1018 / HD 342906</t>
  </si>
  <si>
    <t># of data points: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</si>
  <si>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</si>
  <si>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</si>
  <si>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</si>
  <si>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</si>
  <si>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</si>
  <si>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</si>
  <si>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</si>
  <si>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</si>
  <si>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</si>
  <si>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</si>
  <si>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</si>
  <si>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2418742.26 </t>
  </si>
  <si>
    <t> 11.03.1910 18:14 </t>
  </si>
  <si>
    <t> -0.19 </t>
  </si>
  <si>
    <t>P </t>
  </si>
  <si>
    <t> P.Parenago </t>
  </si>
  <si>
    <t> PZ 4.157 </t>
  </si>
  <si>
    <t>2424963.37 </t>
  </si>
  <si>
    <t> 23.03.1927 20:52 </t>
  </si>
  <si>
    <t> -0.12 </t>
  </si>
  <si>
    <t> R.Prager </t>
  </si>
  <si>
    <t> KVBB 6.40 </t>
  </si>
  <si>
    <t>2425971.48 </t>
  </si>
  <si>
    <t> 25.12.1929 23:31 </t>
  </si>
  <si>
    <t> -0.21 </t>
  </si>
  <si>
    <t>2427541.26 </t>
  </si>
  <si>
    <t> 13.04.1934 18:14 </t>
  </si>
  <si>
    <t> -0.01 </t>
  </si>
  <si>
    <t>V </t>
  </si>
  <si>
    <t> S.Piotrowski </t>
  </si>
  <si>
    <t> AAC 2.98 </t>
  </si>
  <si>
    <t>2427816.24 </t>
  </si>
  <si>
    <t> 13.01.1935 17:45 </t>
  </si>
  <si>
    <t> 0.00 </t>
  </si>
  <si>
    <t>2427873.51 </t>
  </si>
  <si>
    <t> 12.03.1935 00:14 </t>
  </si>
  <si>
    <t>2435778.654 </t>
  </si>
  <si>
    <t> 01.11.1956 03:41 </t>
  </si>
  <si>
    <t> -0.058 </t>
  </si>
  <si>
    <t> H.Huth </t>
  </si>
  <si>
    <t> MVS 2.123 </t>
  </si>
  <si>
    <t>2435893.31 </t>
  </si>
  <si>
    <t> 23.02.1957 19:26 </t>
  </si>
  <si>
    <t> 0.03 </t>
  </si>
  <si>
    <t> R.Szafraniec </t>
  </si>
  <si>
    <t> AA 8.190 </t>
  </si>
  <si>
    <t>2437348.358 </t>
  </si>
  <si>
    <t> 17.02.1961 20:35 </t>
  </si>
  <si>
    <t> 0.064 </t>
  </si>
  <si>
    <t> K.Häussler </t>
  </si>
  <si>
    <t> HABZ 92 </t>
  </si>
  <si>
    <t>2443168.406 </t>
  </si>
  <si>
    <t> 24.01.1977 21:44 </t>
  </si>
  <si>
    <t> 0.058 </t>
  </si>
  <si>
    <t> K.Locher </t>
  </si>
  <si>
    <t> BBS 32 </t>
  </si>
  <si>
    <t>2445001.477 </t>
  </si>
  <si>
    <t> 31.01.1982 23:26 </t>
  </si>
  <si>
    <t> 0.041 </t>
  </si>
  <si>
    <t> BBS 58 </t>
  </si>
  <si>
    <t>2448358.404 </t>
  </si>
  <si>
    <t> 11.04.1991 21:41 </t>
  </si>
  <si>
    <t> 0.126 </t>
  </si>
  <si>
    <t> BBS 97 </t>
  </si>
  <si>
    <t>2454831.5321 </t>
  </si>
  <si>
    <t> 31.12.2008 00:46 </t>
  </si>
  <si>
    <t> 0.1617 </t>
  </si>
  <si>
    <t>C </t>
  </si>
  <si>
    <t>o</t>
  </si>
  <si>
    <t> U.Schmidt </t>
  </si>
  <si>
    <t>BAVM 203 </t>
  </si>
  <si>
    <t>I</t>
  </si>
  <si>
    <t>BAD?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</si>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</sst>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3" fillId="2" borderId="11" xfId="7" applyFill="1" applyBorder="1" applyAlignment="1" applyProtection="1">
      <alignment horizontal="right" vertical="top" wrapText="1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Gem - O-C Diagr.</a:t>
            </a:r>
          </a:p>
        </c:rich>
      </c:tx>
      <c:layout>
        <c:manualLayout>
          <c:xMode val="edge"/>
          <c:yMode val="edge"/>
          <c:x val="0.3742041560091612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2749748667139"/>
          <c:y val="0.15"/>
          <c:w val="0.81369490017828494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5-47CE-852B-0A9897F27A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-0.19039999999949941</c:v>
                </c:pt>
                <c:pt idx="1">
                  <c:v>-0.12280000000100699</c:v>
                </c:pt>
                <c:pt idx="2">
                  <c:v>-0.21120000000155414</c:v>
                </c:pt>
                <c:pt idx="3">
                  <c:v>-1.2800000000424916E-2</c:v>
                </c:pt>
                <c:pt idx="4">
                  <c:v>4.0000000044528861E-3</c:v>
                </c:pt>
                <c:pt idx="5">
                  <c:v>-1.0000000002037268E-2</c:v>
                </c:pt>
                <c:pt idx="6">
                  <c:v>-5.799999999726424E-2</c:v>
                </c:pt>
                <c:pt idx="8">
                  <c:v>2.9999999998835847E-2</c:v>
                </c:pt>
                <c:pt idx="9">
                  <c:v>6.4400000002933666E-2</c:v>
                </c:pt>
                <c:pt idx="10">
                  <c:v>5.8000000004540198E-2</c:v>
                </c:pt>
                <c:pt idx="11">
                  <c:v>4.0999999997438863E-2</c:v>
                </c:pt>
                <c:pt idx="12">
                  <c:v>0.1256000000066706</c:v>
                </c:pt>
                <c:pt idx="13">
                  <c:v>0.16169999999692664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5-47CE-852B-0A9897F27A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5-47CE-852B-0A9897F27A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">
                  <c:v>0.18069999999715947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55-47CE-852B-0A9897F27A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55-47CE-852B-0A9897F27A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55-47CE-852B-0A9897F27A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1.2999999999999999E-2</c:v>
                  </c:pt>
                  <c:pt idx="13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55-47CE-852B-0A9897F27A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-0.15055291798500869</c:v>
                </c:pt>
                <c:pt idx="1">
                  <c:v>-9.6671380771578774E-2</c:v>
                </c:pt>
                <c:pt idx="2">
                  <c:v>-8.793919794509289E-2</c:v>
                </c:pt>
                <c:pt idx="3">
                  <c:v>-7.4344776953859201E-2</c:v>
                </c:pt>
                <c:pt idx="4">
                  <c:v>-7.1963272546635773E-2</c:v>
                </c:pt>
                <c:pt idx="5">
                  <c:v>-7.1467125795130898E-2</c:v>
                </c:pt>
                <c:pt idx="6">
                  <c:v>-2.9988740874575485E-3</c:v>
                </c:pt>
                <c:pt idx="7">
                  <c:v>-2.0065805844477896E-3</c:v>
                </c:pt>
                <c:pt idx="8">
                  <c:v>-2.0065805844477896E-3</c:v>
                </c:pt>
                <c:pt idx="9">
                  <c:v>1.0595546903776147E-2</c:v>
                </c:pt>
                <c:pt idx="10">
                  <c:v>6.1004056856671887E-2</c:v>
                </c:pt>
                <c:pt idx="11">
                  <c:v>7.6880752904828029E-2</c:v>
                </c:pt>
                <c:pt idx="12">
                  <c:v>0.10595495254301396</c:v>
                </c:pt>
                <c:pt idx="13">
                  <c:v>0.1620195354630653</c:v>
                </c:pt>
                <c:pt idx="14">
                  <c:v>0.2036958625894752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55-47CE-852B-0A9897F27A5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-1497</c:v>
                </c:pt>
                <c:pt idx="1">
                  <c:v>-954</c:v>
                </c:pt>
                <c:pt idx="2">
                  <c:v>-866</c:v>
                </c:pt>
                <c:pt idx="3">
                  <c:v>-729</c:v>
                </c:pt>
                <c:pt idx="4">
                  <c:v>-705</c:v>
                </c:pt>
                <c:pt idx="5">
                  <c:v>-700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635</c:v>
                </c:pt>
                <c:pt idx="11">
                  <c:v>795</c:v>
                </c:pt>
                <c:pt idx="12">
                  <c:v>1088</c:v>
                </c:pt>
                <c:pt idx="13">
                  <c:v>1653</c:v>
                </c:pt>
                <c:pt idx="14">
                  <c:v>2073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55-47CE-852B-0A9897F27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225032"/>
        <c:axId val="1"/>
      </c:scatterChart>
      <c:valAx>
        <c:axId val="729225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47804135947973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55414012738856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225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3583596636406"/>
          <c:y val="0.91874999999999996"/>
          <c:w val="0.7802554457762842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447675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8A1757A-91AB-3D93-4E1C-9D3E4089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2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25</v>
      </c>
    </row>
    <row r="4" spans="1:6">
      <c r="A4" s="8" t="s">
        <v>0</v>
      </c>
      <c r="C4" s="3">
        <v>35893.279999999999</v>
      </c>
      <c r="D4" s="4">
        <v>11.456799999999999</v>
      </c>
    </row>
    <row r="5" spans="1:6">
      <c r="A5" s="35" t="s">
        <v>110</v>
      </c>
      <c r="B5" s="17"/>
      <c r="C5" s="36">
        <v>-9.5</v>
      </c>
      <c r="D5" s="17" t="s">
        <v>111</v>
      </c>
    </row>
    <row r="6" spans="1:6">
      <c r="A6" s="8" t="s">
        <v>1</v>
      </c>
    </row>
    <row r="7" spans="1:6">
      <c r="A7" t="s">
        <v>2</v>
      </c>
      <c r="C7">
        <f>+C4</f>
        <v>35893.279999999999</v>
      </c>
    </row>
    <row r="8" spans="1:6">
      <c r="A8" t="s">
        <v>3</v>
      </c>
      <c r="C8">
        <f>+D4</f>
        <v>11.456799999999999</v>
      </c>
    </row>
    <row r="9" spans="1:6">
      <c r="A9" s="37" t="s">
        <v>112</v>
      </c>
      <c r="B9" s="38">
        <v>21</v>
      </c>
      <c r="C9" s="39" t="str">
        <f>"F"&amp;B9</f>
        <v>F21</v>
      </c>
      <c r="D9" s="40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41">
        <f ca="1">INTERCEPT(INDIRECT($D$9):G978,INDIRECT($C$9):F978)</f>
        <v>-2.0065805844477896E-3</v>
      </c>
      <c r="D11" s="6"/>
    </row>
    <row r="12" spans="1:6">
      <c r="A12" t="s">
        <v>17</v>
      </c>
      <c r="C12" s="41">
        <f ca="1">SLOPE(INDIRECT($D$9):G978,INDIRECT($C$9):F978)</f>
        <v>9.922935030097587E-5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59643.430095862583</v>
      </c>
      <c r="E15" s="42" t="s">
        <v>113</v>
      </c>
      <c r="F15" s="36">
        <v>1</v>
      </c>
    </row>
    <row r="16" spans="1:6">
      <c r="A16" s="8" t="s">
        <v>4</v>
      </c>
      <c r="C16" s="12">
        <f ca="1">+C8+C12</f>
        <v>11.4568992293503</v>
      </c>
      <c r="E16" s="42" t="s">
        <v>114</v>
      </c>
      <c r="F16" s="43">
        <f ca="1">NOW()+15018.5+$C$5/24</f>
        <v>60351.731312615739</v>
      </c>
    </row>
    <row r="17" spans="1:32" ht="13.5" thickBot="1">
      <c r="A17" s="13" t="s">
        <v>36</v>
      </c>
      <c r="C17">
        <f>COUNT(C21:C2191)</f>
        <v>15</v>
      </c>
      <c r="E17" s="42" t="s">
        <v>115</v>
      </c>
      <c r="F17" s="43">
        <f ca="1">ROUND(2*(F16-$C$7)/$C$8,0)/2+F15</f>
        <v>2136</v>
      </c>
    </row>
    <row r="18" spans="1:32">
      <c r="A18" s="8" t="s">
        <v>5</v>
      </c>
      <c r="C18" s="3">
        <f ca="1">+C15</f>
        <v>59643.430095862583</v>
      </c>
      <c r="D18" s="4">
        <f ca="1">+C16</f>
        <v>11.4568992293503</v>
      </c>
      <c r="E18" s="42" t="s">
        <v>116</v>
      </c>
      <c r="F18" s="40">
        <f ca="1">ROUND(2*(F16-$C$15)/$C$16,0)/2+F15</f>
        <v>63</v>
      </c>
    </row>
    <row r="19" spans="1:32" ht="13.5" thickTop="1">
      <c r="E19" s="42" t="s">
        <v>117</v>
      </c>
      <c r="F19" s="44">
        <f ca="1">+$C$15+$C$16*F18-15018.5-$C$5/24</f>
        <v>45347.110580644985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44</v>
      </c>
      <c r="I20" s="10" t="s">
        <v>47</v>
      </c>
      <c r="J20" s="10" t="s">
        <v>41</v>
      </c>
      <c r="K20" s="10" t="s">
        <v>39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34" t="s">
        <v>109</v>
      </c>
    </row>
    <row r="21" spans="1:32">
      <c r="A21" s="30" t="s">
        <v>53</v>
      </c>
      <c r="B21" s="33" t="s">
        <v>108</v>
      </c>
      <c r="C21" s="31">
        <v>18742.259999999998</v>
      </c>
      <c r="D21" s="32" t="s">
        <v>47</v>
      </c>
      <c r="E21">
        <f t="shared" ref="E21:E34" si="0">+(C21-C$7)/C$8</f>
        <v>-1497.0166189511906</v>
      </c>
      <c r="F21">
        <f t="shared" ref="F21:F34" si="1">ROUND(2*E21,0)/2</f>
        <v>-1497</v>
      </c>
      <c r="G21">
        <f t="shared" ref="G21:G34" si="2">+C21-(C$7+F21*C$8)</f>
        <v>-0.19039999999949941</v>
      </c>
      <c r="I21">
        <f t="shared" ref="I21:I27" si="3">+G21</f>
        <v>-0.19039999999949941</v>
      </c>
      <c r="O21">
        <f t="shared" ref="O21:O34" ca="1" si="4">+C$11+C$12*F21</f>
        <v>-0.15055291798500869</v>
      </c>
      <c r="Q21" s="2">
        <f t="shared" ref="Q21:Q34" si="5">+C21-15018.5</f>
        <v>3723.7599999999984</v>
      </c>
    </row>
    <row r="22" spans="1:32">
      <c r="A22" s="30" t="s">
        <v>58</v>
      </c>
      <c r="B22" s="33" t="s">
        <v>108</v>
      </c>
      <c r="C22" s="32">
        <v>24963.37</v>
      </c>
      <c r="D22" s="32" t="s">
        <v>47</v>
      </c>
      <c r="E22">
        <f t="shared" si="0"/>
        <v>-954.01071852524274</v>
      </c>
      <c r="F22">
        <f t="shared" si="1"/>
        <v>-954</v>
      </c>
      <c r="G22">
        <f t="shared" si="2"/>
        <v>-0.12280000000100699</v>
      </c>
      <c r="I22">
        <f t="shared" si="3"/>
        <v>-0.12280000000100699</v>
      </c>
      <c r="O22">
        <f t="shared" ca="1" si="4"/>
        <v>-9.6671380771578774E-2</v>
      </c>
      <c r="Q22" s="2">
        <f t="shared" si="5"/>
        <v>9944.869999999999</v>
      </c>
    </row>
    <row r="23" spans="1:32">
      <c r="A23" s="30" t="s">
        <v>53</v>
      </c>
      <c r="B23" s="33" t="s">
        <v>108</v>
      </c>
      <c r="C23" s="32">
        <v>25971.48</v>
      </c>
      <c r="D23" s="32" t="s">
        <v>47</v>
      </c>
      <c r="E23">
        <f t="shared" si="0"/>
        <v>-866.01843446686678</v>
      </c>
      <c r="F23">
        <f t="shared" si="1"/>
        <v>-866</v>
      </c>
      <c r="G23">
        <f t="shared" si="2"/>
        <v>-0.21120000000155414</v>
      </c>
      <c r="I23">
        <f t="shared" si="3"/>
        <v>-0.21120000000155414</v>
      </c>
      <c r="O23">
        <f t="shared" ca="1" si="4"/>
        <v>-8.793919794509289E-2</v>
      </c>
      <c r="Q23" s="2">
        <f t="shared" si="5"/>
        <v>10952.98</v>
      </c>
    </row>
    <row r="24" spans="1:32">
      <c r="A24" s="30" t="s">
        <v>67</v>
      </c>
      <c r="B24" s="33" t="s">
        <v>108</v>
      </c>
      <c r="C24" s="32">
        <v>27541.26</v>
      </c>
      <c r="D24" s="32" t="s">
        <v>47</v>
      </c>
      <c r="E24">
        <f t="shared" si="0"/>
        <v>-729.00111724041619</v>
      </c>
      <c r="F24">
        <f t="shared" si="1"/>
        <v>-729</v>
      </c>
      <c r="G24">
        <f t="shared" si="2"/>
        <v>-1.2800000000424916E-2</v>
      </c>
      <c r="I24">
        <f t="shared" si="3"/>
        <v>-1.2800000000424916E-2</v>
      </c>
      <c r="O24">
        <f t="shared" ca="1" si="4"/>
        <v>-7.4344776953859201E-2</v>
      </c>
      <c r="Q24" s="2">
        <f t="shared" si="5"/>
        <v>12522.759999999998</v>
      </c>
    </row>
    <row r="25" spans="1:32">
      <c r="A25" s="30" t="s">
        <v>67</v>
      </c>
      <c r="B25" s="33" t="s">
        <v>108</v>
      </c>
      <c r="C25" s="32">
        <v>27816.240000000002</v>
      </c>
      <c r="D25" s="32" t="s">
        <v>47</v>
      </c>
      <c r="E25">
        <f t="shared" si="0"/>
        <v>-704.99965086236978</v>
      </c>
      <c r="F25">
        <f t="shared" si="1"/>
        <v>-705</v>
      </c>
      <c r="G25">
        <f t="shared" si="2"/>
        <v>4.0000000044528861E-3</v>
      </c>
      <c r="I25">
        <f t="shared" si="3"/>
        <v>4.0000000044528861E-3</v>
      </c>
      <c r="O25">
        <f t="shared" ca="1" si="4"/>
        <v>-7.1963272546635773E-2</v>
      </c>
      <c r="Q25" s="2">
        <f t="shared" si="5"/>
        <v>12797.740000000002</v>
      </c>
    </row>
    <row r="26" spans="1:32">
      <c r="A26" s="30" t="s">
        <v>67</v>
      </c>
      <c r="B26" s="33" t="s">
        <v>108</v>
      </c>
      <c r="C26" s="32">
        <v>27873.51</v>
      </c>
      <c r="D26" s="32" t="s">
        <v>47</v>
      </c>
      <c r="E26">
        <f t="shared" si="0"/>
        <v>-700.00087284407516</v>
      </c>
      <c r="F26">
        <f t="shared" si="1"/>
        <v>-700</v>
      </c>
      <c r="G26">
        <f t="shared" si="2"/>
        <v>-1.0000000002037268E-2</v>
      </c>
      <c r="I26">
        <f t="shared" si="3"/>
        <v>-1.0000000002037268E-2</v>
      </c>
      <c r="O26">
        <f t="shared" ca="1" si="4"/>
        <v>-7.1467125795130898E-2</v>
      </c>
      <c r="Q26" s="2">
        <f t="shared" si="5"/>
        <v>12855.009999999998</v>
      </c>
    </row>
    <row r="27" spans="1:32">
      <c r="A27" s="30" t="s">
        <v>77</v>
      </c>
      <c r="B27" s="33" t="s">
        <v>108</v>
      </c>
      <c r="C27" s="32">
        <v>35778.654000000002</v>
      </c>
      <c r="D27" s="32" t="s">
        <v>47</v>
      </c>
      <c r="E27">
        <f t="shared" si="0"/>
        <v>-10.00506249563548</v>
      </c>
      <c r="F27">
        <f t="shared" si="1"/>
        <v>-10</v>
      </c>
      <c r="G27">
        <f t="shared" si="2"/>
        <v>-5.799999999726424E-2</v>
      </c>
      <c r="I27">
        <f t="shared" si="3"/>
        <v>-5.799999999726424E-2</v>
      </c>
      <c r="O27">
        <f t="shared" ca="1" si="4"/>
        <v>-2.9988740874575485E-3</v>
      </c>
      <c r="Q27" s="2">
        <f t="shared" si="5"/>
        <v>20760.154000000002</v>
      </c>
    </row>
    <row r="28" spans="1:32">
      <c r="A28" t="s">
        <v>12</v>
      </c>
      <c r="C28" s="14">
        <v>35893.279999999999</v>
      </c>
      <c r="D28" s="14" t="s">
        <v>14</v>
      </c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O28">
        <f t="shared" ca="1" si="4"/>
        <v>-2.0065805844477896E-3</v>
      </c>
      <c r="Q28" s="2">
        <f t="shared" si="5"/>
        <v>20874.78</v>
      </c>
    </row>
    <row r="29" spans="1:32">
      <c r="A29" s="30" t="s">
        <v>82</v>
      </c>
      <c r="B29" s="33" t="s">
        <v>108</v>
      </c>
      <c r="C29" s="32">
        <v>35893.31</v>
      </c>
      <c r="D29" s="32" t="s">
        <v>47</v>
      </c>
      <c r="E29">
        <f t="shared" si="0"/>
        <v>2.6185322253016417E-3</v>
      </c>
      <c r="F29">
        <f t="shared" si="1"/>
        <v>0</v>
      </c>
      <c r="G29">
        <f t="shared" si="2"/>
        <v>2.9999999998835847E-2</v>
      </c>
      <c r="I29">
        <f>+G29</f>
        <v>2.9999999998835847E-2</v>
      </c>
      <c r="O29">
        <f t="shared" ca="1" si="4"/>
        <v>-2.0065805844477896E-3</v>
      </c>
      <c r="Q29" s="2">
        <f t="shared" si="5"/>
        <v>20874.809999999998</v>
      </c>
    </row>
    <row r="30" spans="1:32">
      <c r="A30" s="30" t="s">
        <v>87</v>
      </c>
      <c r="B30" s="33" t="s">
        <v>108</v>
      </c>
      <c r="C30" s="32">
        <v>37348.358</v>
      </c>
      <c r="D30" s="32" t="s">
        <v>47</v>
      </c>
      <c r="E30">
        <f t="shared" si="0"/>
        <v>127.00562111584399</v>
      </c>
      <c r="F30">
        <f t="shared" si="1"/>
        <v>127</v>
      </c>
      <c r="G30">
        <f t="shared" si="2"/>
        <v>6.4400000002933666E-2</v>
      </c>
      <c r="I30">
        <f>+G30</f>
        <v>6.4400000002933666E-2</v>
      </c>
      <c r="O30">
        <f t="shared" ca="1" si="4"/>
        <v>1.0595546903776147E-2</v>
      </c>
      <c r="Q30" s="2">
        <f t="shared" si="5"/>
        <v>22329.858</v>
      </c>
    </row>
    <row r="31" spans="1:32">
      <c r="A31" t="s">
        <v>31</v>
      </c>
      <c r="C31" s="15">
        <v>43168.406000000003</v>
      </c>
      <c r="D31" s="14"/>
      <c r="E31">
        <f t="shared" si="0"/>
        <v>635.00506249563614</v>
      </c>
      <c r="F31">
        <f t="shared" si="1"/>
        <v>635</v>
      </c>
      <c r="G31">
        <f t="shared" si="2"/>
        <v>5.8000000004540198E-2</v>
      </c>
      <c r="I31">
        <f>+G31</f>
        <v>5.8000000004540198E-2</v>
      </c>
      <c r="O31">
        <f t="shared" ca="1" si="4"/>
        <v>6.1004056856671887E-2</v>
      </c>
      <c r="Q31" s="2">
        <f t="shared" si="5"/>
        <v>28149.906000000003</v>
      </c>
      <c r="AA31" t="s">
        <v>29</v>
      </c>
      <c r="AB31">
        <v>8</v>
      </c>
      <c r="AD31" t="s">
        <v>30</v>
      </c>
      <c r="AF31" t="s">
        <v>32</v>
      </c>
    </row>
    <row r="32" spans="1:32">
      <c r="A32" t="s">
        <v>33</v>
      </c>
      <c r="C32" s="15">
        <v>45001.476999999999</v>
      </c>
      <c r="D32" s="14"/>
      <c r="E32">
        <f t="shared" si="0"/>
        <v>795.00357866070806</v>
      </c>
      <c r="F32">
        <f t="shared" si="1"/>
        <v>795</v>
      </c>
      <c r="G32">
        <f t="shared" si="2"/>
        <v>4.0999999997438863E-2</v>
      </c>
      <c r="I32">
        <f>+G32</f>
        <v>4.0999999997438863E-2</v>
      </c>
      <c r="O32">
        <f t="shared" ca="1" si="4"/>
        <v>7.6880752904828029E-2</v>
      </c>
      <c r="Q32" s="2">
        <f t="shared" si="5"/>
        <v>29982.976999999999</v>
      </c>
      <c r="AA32" t="s">
        <v>29</v>
      </c>
      <c r="AB32">
        <v>9</v>
      </c>
      <c r="AD32" t="s">
        <v>30</v>
      </c>
      <c r="AF32" t="s">
        <v>32</v>
      </c>
    </row>
    <row r="33" spans="1:32">
      <c r="A33" t="s">
        <v>34</v>
      </c>
      <c r="C33" s="15">
        <v>48358.404000000002</v>
      </c>
      <c r="D33" s="14">
        <v>1.2999999999999999E-2</v>
      </c>
      <c r="E33">
        <f t="shared" si="0"/>
        <v>1088.010962921584</v>
      </c>
      <c r="F33">
        <f t="shared" si="1"/>
        <v>1088</v>
      </c>
      <c r="G33">
        <f t="shared" si="2"/>
        <v>0.1256000000066706</v>
      </c>
      <c r="I33">
        <f>+G33</f>
        <v>0.1256000000066706</v>
      </c>
      <c r="O33">
        <f t="shared" ca="1" si="4"/>
        <v>0.10595495254301396</v>
      </c>
      <c r="Q33" s="2">
        <f t="shared" si="5"/>
        <v>33339.904000000002</v>
      </c>
      <c r="AA33" t="s">
        <v>29</v>
      </c>
      <c r="AB33">
        <v>6</v>
      </c>
      <c r="AD33" t="s">
        <v>30</v>
      </c>
      <c r="AF33" t="s">
        <v>32</v>
      </c>
    </row>
    <row r="34" spans="1:32">
      <c r="A34" s="30" t="s">
        <v>107</v>
      </c>
      <c r="B34" s="33" t="s">
        <v>108</v>
      </c>
      <c r="C34" s="32">
        <v>54831.532099999997</v>
      </c>
      <c r="D34" s="32" t="s">
        <v>47</v>
      </c>
      <c r="E34">
        <f t="shared" si="0"/>
        <v>1653.0141138886947</v>
      </c>
      <c r="F34">
        <f t="shared" si="1"/>
        <v>1653</v>
      </c>
      <c r="G34">
        <f t="shared" si="2"/>
        <v>0.16169999999692664</v>
      </c>
      <c r="I34">
        <f>+G34</f>
        <v>0.16169999999692664</v>
      </c>
      <c r="O34">
        <f t="shared" ca="1" si="4"/>
        <v>0.1620195354630653</v>
      </c>
      <c r="Q34" s="2">
        <f t="shared" si="5"/>
        <v>39813.032099999997</v>
      </c>
    </row>
    <row r="35" spans="1:32">
      <c r="A35" s="45" t="s">
        <v>118</v>
      </c>
      <c r="B35" s="46" t="s">
        <v>119</v>
      </c>
      <c r="C35" s="47">
        <v>59643.407099999997</v>
      </c>
      <c r="D35" s="48">
        <v>1E-4</v>
      </c>
      <c r="E35">
        <f t="shared" ref="E35" si="6">+(C35-C$7)/C$8</f>
        <v>2073.0157722924378</v>
      </c>
      <c r="F35">
        <f t="shared" ref="F35" si="7">ROUND(2*E35,0)/2</f>
        <v>2073</v>
      </c>
      <c r="G35">
        <f t="shared" ref="G35" si="8">+C35-(C$7+F35*C$8)</f>
        <v>0.18069999999715947</v>
      </c>
      <c r="K35">
        <f>+G35</f>
        <v>0.18069999999715947</v>
      </c>
      <c r="O35">
        <f t="shared" ref="O35" ca="1" si="9">+C$11+C$12*F35</f>
        <v>0.2036958625894752</v>
      </c>
      <c r="Q35" s="2">
        <f t="shared" ref="Q35" si="10">+C35-15018.5</f>
        <v>44624.907099999997</v>
      </c>
    </row>
    <row r="36" spans="1:32">
      <c r="C36" s="14"/>
      <c r="D36" s="14"/>
    </row>
    <row r="37" spans="1:32">
      <c r="C37" s="14"/>
      <c r="D37" s="14"/>
    </row>
    <row r="38" spans="1:32">
      <c r="C38" s="14"/>
      <c r="D38" s="14"/>
    </row>
    <row r="39" spans="1:32">
      <c r="C39" s="14"/>
      <c r="D39" s="14"/>
    </row>
    <row r="40" spans="1:32">
      <c r="C40" s="14"/>
      <c r="D40" s="14"/>
    </row>
    <row r="41" spans="1:32">
      <c r="C41" s="14"/>
      <c r="D41" s="14"/>
    </row>
    <row r="42" spans="1:32">
      <c r="C42" s="14"/>
      <c r="D42" s="14"/>
    </row>
    <row r="43" spans="1:32">
      <c r="C43" s="14"/>
      <c r="D43" s="14"/>
    </row>
    <row r="44" spans="1:32">
      <c r="C44" s="14"/>
      <c r="D44" s="14"/>
    </row>
    <row r="45" spans="1:32">
      <c r="C45" s="14"/>
      <c r="D45" s="14"/>
    </row>
    <row r="46" spans="1:32">
      <c r="C46" s="14"/>
      <c r="D46" s="14"/>
    </row>
    <row r="47" spans="1:32">
      <c r="C47" s="14"/>
      <c r="D47" s="14"/>
    </row>
    <row r="48" spans="1:32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  <row r="2565" spans="3:4">
      <c r="C2565" s="14"/>
      <c r="D2565" s="14"/>
    </row>
    <row r="2566" spans="3:4">
      <c r="C2566" s="14"/>
      <c r="D2566" s="14"/>
    </row>
    <row r="2567" spans="3:4">
      <c r="C2567" s="14"/>
      <c r="D2567" s="14"/>
    </row>
    <row r="2568" spans="3:4">
      <c r="C2568" s="14"/>
      <c r="D2568" s="14"/>
    </row>
    <row r="2569" spans="3:4">
      <c r="C2569" s="14"/>
      <c r="D2569" s="14"/>
    </row>
    <row r="2570" spans="3:4">
      <c r="C2570" s="14"/>
      <c r="D2570" s="14"/>
    </row>
    <row r="2571" spans="3:4">
      <c r="C2571" s="14"/>
      <c r="D2571" s="14"/>
    </row>
    <row r="2572" spans="3:4">
      <c r="C2572" s="14"/>
      <c r="D2572" s="14"/>
    </row>
    <row r="2573" spans="3:4">
      <c r="C2573" s="14"/>
      <c r="D2573" s="14"/>
    </row>
    <row r="2574" spans="3:4">
      <c r="C2574" s="14"/>
      <c r="D2574" s="14"/>
    </row>
    <row r="2575" spans="3:4">
      <c r="C2575" s="14"/>
      <c r="D2575" s="14"/>
    </row>
    <row r="2576" spans="3:4">
      <c r="C2576" s="14"/>
      <c r="D2576" s="14"/>
    </row>
    <row r="2577" spans="3:4">
      <c r="C2577" s="14"/>
      <c r="D2577" s="14"/>
    </row>
    <row r="2578" spans="3:4">
      <c r="C2578" s="14"/>
      <c r="D2578" s="14"/>
    </row>
    <row r="2579" spans="3:4">
      <c r="C2579" s="14"/>
      <c r="D2579" s="14"/>
    </row>
    <row r="2580" spans="3:4">
      <c r="C2580" s="14"/>
      <c r="D2580" s="14"/>
    </row>
    <row r="2581" spans="3:4">
      <c r="C2581" s="14"/>
      <c r="D2581" s="14"/>
    </row>
    <row r="2582" spans="3:4">
      <c r="C2582" s="14"/>
      <c r="D2582" s="14"/>
    </row>
    <row r="2583" spans="3:4">
      <c r="C2583" s="14"/>
      <c r="D2583" s="14"/>
    </row>
    <row r="2584" spans="3:4">
      <c r="C2584" s="14"/>
      <c r="D2584" s="14"/>
    </row>
    <row r="2585" spans="3:4">
      <c r="C2585" s="14"/>
      <c r="D2585" s="14"/>
    </row>
    <row r="2586" spans="3:4">
      <c r="C2586" s="14"/>
      <c r="D2586" s="14"/>
    </row>
    <row r="2587" spans="3:4">
      <c r="C2587" s="14"/>
      <c r="D2587" s="14"/>
    </row>
    <row r="2588" spans="3:4">
      <c r="C2588" s="14"/>
      <c r="D2588" s="14"/>
    </row>
    <row r="2589" spans="3:4">
      <c r="C2589" s="14"/>
      <c r="D2589" s="14"/>
    </row>
    <row r="2590" spans="3:4">
      <c r="C2590" s="14"/>
      <c r="D2590" s="14"/>
    </row>
    <row r="2591" spans="3:4">
      <c r="C2591" s="14"/>
      <c r="D2591" s="14"/>
    </row>
    <row r="2592" spans="3:4">
      <c r="C2592" s="14"/>
      <c r="D2592" s="14"/>
    </row>
    <row r="2593" spans="3:4">
      <c r="C2593" s="14"/>
      <c r="D2593" s="14"/>
    </row>
    <row r="2594" spans="3:4">
      <c r="C2594" s="14"/>
      <c r="D2594" s="14"/>
    </row>
    <row r="2595" spans="3:4">
      <c r="C2595" s="14"/>
      <c r="D2595" s="14"/>
    </row>
    <row r="2596" spans="3:4">
      <c r="C2596" s="14"/>
      <c r="D2596" s="14"/>
    </row>
    <row r="2597" spans="3:4">
      <c r="C2597" s="14"/>
      <c r="D2597" s="14"/>
    </row>
    <row r="2598" spans="3:4">
      <c r="C2598" s="14"/>
      <c r="D2598" s="14"/>
    </row>
    <row r="2599" spans="3:4">
      <c r="C2599" s="14"/>
      <c r="D2599" s="14"/>
    </row>
    <row r="2600" spans="3:4">
      <c r="C2600" s="14"/>
      <c r="D2600" s="14"/>
    </row>
    <row r="2601" spans="3:4">
      <c r="C2601" s="14"/>
      <c r="D2601" s="14"/>
    </row>
    <row r="2602" spans="3:4">
      <c r="C2602" s="14"/>
      <c r="D2602" s="14"/>
    </row>
    <row r="2603" spans="3:4">
      <c r="C2603" s="14"/>
      <c r="D2603" s="14"/>
    </row>
    <row r="2604" spans="3:4">
      <c r="C2604" s="14"/>
      <c r="D2604" s="14"/>
    </row>
    <row r="2605" spans="3:4">
      <c r="C2605" s="14"/>
      <c r="D2605" s="14"/>
    </row>
    <row r="2606" spans="3:4">
      <c r="C2606" s="14"/>
      <c r="D2606" s="14"/>
    </row>
    <row r="2607" spans="3:4">
      <c r="C2607" s="14"/>
      <c r="D2607" s="14"/>
    </row>
    <row r="2608" spans="3:4">
      <c r="C2608" s="14"/>
      <c r="D2608" s="14"/>
    </row>
    <row r="2609" spans="3:4">
      <c r="C2609" s="14"/>
      <c r="D2609" s="14"/>
    </row>
    <row r="2610" spans="3:4">
      <c r="C2610" s="14"/>
      <c r="D2610" s="14"/>
    </row>
    <row r="2611" spans="3:4">
      <c r="C2611" s="14"/>
      <c r="D2611" s="14"/>
    </row>
    <row r="2612" spans="3:4">
      <c r="C2612" s="14"/>
      <c r="D2612" s="14"/>
    </row>
    <row r="2613" spans="3:4">
      <c r="C2613" s="14"/>
      <c r="D2613" s="14"/>
    </row>
    <row r="2614" spans="3:4">
      <c r="C2614" s="14"/>
      <c r="D2614" s="14"/>
    </row>
    <row r="2615" spans="3:4">
      <c r="C2615" s="14"/>
      <c r="D2615" s="14"/>
    </row>
    <row r="2616" spans="3:4">
      <c r="C2616" s="14"/>
      <c r="D2616" s="14"/>
    </row>
    <row r="2617" spans="3:4">
      <c r="C2617" s="14"/>
      <c r="D2617" s="14"/>
    </row>
    <row r="2618" spans="3:4">
      <c r="C2618" s="14"/>
      <c r="D2618" s="14"/>
    </row>
    <row r="2619" spans="3:4">
      <c r="C2619" s="14"/>
      <c r="D2619" s="14"/>
    </row>
    <row r="2620" spans="3:4">
      <c r="C2620" s="14"/>
      <c r="D2620" s="14"/>
    </row>
    <row r="2621" spans="3:4">
      <c r="C2621" s="14"/>
      <c r="D2621" s="14"/>
    </row>
    <row r="2622" spans="3:4">
      <c r="C2622" s="14"/>
      <c r="D2622" s="14"/>
    </row>
    <row r="2623" spans="3:4">
      <c r="C2623" s="14"/>
      <c r="D2623" s="14"/>
    </row>
    <row r="2624" spans="3:4">
      <c r="C2624" s="14"/>
      <c r="D2624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7"/>
  <sheetViews>
    <sheetView workbookViewId="0">
      <selection activeCell="A14" sqref="A14:D23"/>
    </sheetView>
  </sheetViews>
  <sheetFormatPr defaultRowHeight="12.75"/>
  <cols>
    <col min="1" max="1" width="19.7109375" style="14" customWidth="1"/>
    <col min="2" max="2" width="4.42578125" style="17" customWidth="1"/>
    <col min="3" max="3" width="12.7109375" style="1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16" t="s">
        <v>37</v>
      </c>
      <c r="I1" s="18" t="s">
        <v>38</v>
      </c>
      <c r="J1" s="19" t="s">
        <v>39</v>
      </c>
    </row>
    <row r="2" spans="1:16">
      <c r="I2" s="20" t="s">
        <v>40</v>
      </c>
      <c r="J2" s="21" t="s">
        <v>41</v>
      </c>
    </row>
    <row r="3" spans="1:16">
      <c r="A3" s="22" t="s">
        <v>42</v>
      </c>
      <c r="I3" s="20" t="s">
        <v>43</v>
      </c>
      <c r="J3" s="21" t="s">
        <v>44</v>
      </c>
    </row>
    <row r="4" spans="1:16">
      <c r="I4" s="20" t="s">
        <v>45</v>
      </c>
      <c r="J4" s="21" t="s">
        <v>44</v>
      </c>
    </row>
    <row r="5" spans="1:16" ht="13.5" thickBot="1">
      <c r="I5" s="23" t="s">
        <v>46</v>
      </c>
      <c r="J5" s="24" t="s">
        <v>47</v>
      </c>
    </row>
    <row r="10" spans="1:16" ht="13.5" thickBot="1"/>
    <row r="11" spans="1:16" ht="12.75" customHeight="1" thickBot="1">
      <c r="A11" s="14" t="str">
        <f t="shared" ref="A11:A23" si="0">P11</f>
        <v> BBS 32 </v>
      </c>
      <c r="B11" s="6" t="str">
        <f t="shared" ref="B11:B23" si="1">IF(H11=INT(H11),"I","II")</f>
        <v>I</v>
      </c>
      <c r="C11" s="14">
        <f t="shared" ref="C11:C23" si="2">1*G11</f>
        <v>43168.406000000003</v>
      </c>
      <c r="D11" s="17" t="str">
        <f t="shared" ref="D11:D23" si="3">VLOOKUP(F11,I$1:J$5,2,FALSE)</f>
        <v>vis</v>
      </c>
      <c r="E11" s="25">
        <f>VLOOKUP(C11,Active!C$21:E$973,3,FALSE)</f>
        <v>635.00506249563614</v>
      </c>
      <c r="F11" s="6" t="s">
        <v>46</v>
      </c>
      <c r="G11" s="17" t="str">
        <f t="shared" ref="G11:G23" si="4">MID(I11,3,LEN(I11)-3)</f>
        <v>43168.406</v>
      </c>
      <c r="H11" s="14">
        <f t="shared" ref="H11:H23" si="5">1*K11</f>
        <v>635</v>
      </c>
      <c r="I11" s="26" t="s">
        <v>88</v>
      </c>
      <c r="J11" s="27" t="s">
        <v>89</v>
      </c>
      <c r="K11" s="26">
        <v>635</v>
      </c>
      <c r="L11" s="26" t="s">
        <v>90</v>
      </c>
      <c r="M11" s="27" t="s">
        <v>65</v>
      </c>
      <c r="N11" s="27"/>
      <c r="O11" s="28" t="s">
        <v>91</v>
      </c>
      <c r="P11" s="28" t="s">
        <v>92</v>
      </c>
    </row>
    <row r="12" spans="1:16" ht="12.75" customHeight="1" thickBot="1">
      <c r="A12" s="14" t="str">
        <f t="shared" si="0"/>
        <v> BBS 58 </v>
      </c>
      <c r="B12" s="6" t="str">
        <f t="shared" si="1"/>
        <v>I</v>
      </c>
      <c r="C12" s="14">
        <f t="shared" si="2"/>
        <v>45001.476999999999</v>
      </c>
      <c r="D12" s="17" t="str">
        <f t="shared" si="3"/>
        <v>vis</v>
      </c>
      <c r="E12" s="25">
        <f>VLOOKUP(C12,Active!C$21:E$973,3,FALSE)</f>
        <v>795.00357866070806</v>
      </c>
      <c r="F12" s="6" t="s">
        <v>46</v>
      </c>
      <c r="G12" s="17" t="str">
        <f t="shared" si="4"/>
        <v>45001.477</v>
      </c>
      <c r="H12" s="14">
        <f t="shared" si="5"/>
        <v>795</v>
      </c>
      <c r="I12" s="26" t="s">
        <v>93</v>
      </c>
      <c r="J12" s="27" t="s">
        <v>94</v>
      </c>
      <c r="K12" s="26">
        <v>795</v>
      </c>
      <c r="L12" s="26" t="s">
        <v>95</v>
      </c>
      <c r="M12" s="27" t="s">
        <v>65</v>
      </c>
      <c r="N12" s="27"/>
      <c r="O12" s="28" t="s">
        <v>91</v>
      </c>
      <c r="P12" s="28" t="s">
        <v>96</v>
      </c>
    </row>
    <row r="13" spans="1:16" ht="12.75" customHeight="1" thickBot="1">
      <c r="A13" s="14" t="str">
        <f t="shared" si="0"/>
        <v> BBS 97 </v>
      </c>
      <c r="B13" s="6" t="str">
        <f t="shared" si="1"/>
        <v>I</v>
      </c>
      <c r="C13" s="14">
        <f t="shared" si="2"/>
        <v>48358.404000000002</v>
      </c>
      <c r="D13" s="17" t="str">
        <f t="shared" si="3"/>
        <v>vis</v>
      </c>
      <c r="E13" s="25">
        <f>VLOOKUP(C13,Active!C$21:E$973,3,FALSE)</f>
        <v>1088.010962921584</v>
      </c>
      <c r="F13" s="6" t="s">
        <v>46</v>
      </c>
      <c r="G13" s="17" t="str">
        <f t="shared" si="4"/>
        <v>48358.404</v>
      </c>
      <c r="H13" s="14">
        <f t="shared" si="5"/>
        <v>1088</v>
      </c>
      <c r="I13" s="26" t="s">
        <v>97</v>
      </c>
      <c r="J13" s="27" t="s">
        <v>98</v>
      </c>
      <c r="K13" s="26">
        <v>1088</v>
      </c>
      <c r="L13" s="26" t="s">
        <v>99</v>
      </c>
      <c r="M13" s="27" t="s">
        <v>65</v>
      </c>
      <c r="N13" s="27"/>
      <c r="O13" s="28" t="s">
        <v>91</v>
      </c>
      <c r="P13" s="28" t="s">
        <v>100</v>
      </c>
    </row>
    <row r="14" spans="1:16" ht="12.75" customHeight="1" thickBot="1">
      <c r="A14" s="14" t="str">
        <f t="shared" si="0"/>
        <v> PZ 4.157 </v>
      </c>
      <c r="B14" s="6" t="str">
        <f t="shared" si="1"/>
        <v>I</v>
      </c>
      <c r="C14" s="14">
        <f t="shared" si="2"/>
        <v>18742.259999999998</v>
      </c>
      <c r="D14" s="17" t="str">
        <f t="shared" si="3"/>
        <v>vis</v>
      </c>
      <c r="E14" s="25">
        <f>VLOOKUP(C14,Active!C$21:E$973,3,FALSE)</f>
        <v>-1497.0166189511906</v>
      </c>
      <c r="F14" s="6" t="s">
        <v>46</v>
      </c>
      <c r="G14" s="17" t="str">
        <f t="shared" si="4"/>
        <v>18742.26</v>
      </c>
      <c r="H14" s="14">
        <f t="shared" si="5"/>
        <v>-1497</v>
      </c>
      <c r="I14" s="26" t="s">
        <v>48</v>
      </c>
      <c r="J14" s="27" t="s">
        <v>49</v>
      </c>
      <c r="K14" s="26">
        <v>-1497</v>
      </c>
      <c r="L14" s="26" t="s">
        <v>50</v>
      </c>
      <c r="M14" s="27" t="s">
        <v>51</v>
      </c>
      <c r="N14" s="27"/>
      <c r="O14" s="28" t="s">
        <v>52</v>
      </c>
      <c r="P14" s="28" t="s">
        <v>53</v>
      </c>
    </row>
    <row r="15" spans="1:16" ht="12.75" customHeight="1" thickBot="1">
      <c r="A15" s="14" t="str">
        <f t="shared" si="0"/>
        <v> KVBB 6.40 </v>
      </c>
      <c r="B15" s="6" t="str">
        <f t="shared" si="1"/>
        <v>I</v>
      </c>
      <c r="C15" s="14">
        <f t="shared" si="2"/>
        <v>24963.37</v>
      </c>
      <c r="D15" s="17" t="str">
        <f t="shared" si="3"/>
        <v>vis</v>
      </c>
      <c r="E15" s="25">
        <f>VLOOKUP(C15,Active!C$21:E$973,3,FALSE)</f>
        <v>-954.01071852524274</v>
      </c>
      <c r="F15" s="6" t="s">
        <v>46</v>
      </c>
      <c r="G15" s="17" t="str">
        <f t="shared" si="4"/>
        <v>24963.37</v>
      </c>
      <c r="H15" s="14">
        <f t="shared" si="5"/>
        <v>-954</v>
      </c>
      <c r="I15" s="26" t="s">
        <v>54</v>
      </c>
      <c r="J15" s="27" t="s">
        <v>55</v>
      </c>
      <c r="K15" s="26">
        <v>-954</v>
      </c>
      <c r="L15" s="26" t="s">
        <v>56</v>
      </c>
      <c r="M15" s="27" t="s">
        <v>51</v>
      </c>
      <c r="N15" s="27"/>
      <c r="O15" s="28" t="s">
        <v>57</v>
      </c>
      <c r="P15" s="28" t="s">
        <v>58</v>
      </c>
    </row>
    <row r="16" spans="1:16" ht="12.75" customHeight="1" thickBot="1">
      <c r="A16" s="14" t="str">
        <f t="shared" si="0"/>
        <v> PZ 4.157 </v>
      </c>
      <c r="B16" s="6" t="str">
        <f t="shared" si="1"/>
        <v>I</v>
      </c>
      <c r="C16" s="14">
        <f t="shared" si="2"/>
        <v>25971.48</v>
      </c>
      <c r="D16" s="17" t="str">
        <f t="shared" si="3"/>
        <v>vis</v>
      </c>
      <c r="E16" s="25">
        <f>VLOOKUP(C16,Active!C$21:E$973,3,FALSE)</f>
        <v>-866.01843446686678</v>
      </c>
      <c r="F16" s="6" t="s">
        <v>46</v>
      </c>
      <c r="G16" s="17" t="str">
        <f t="shared" si="4"/>
        <v>25971.48</v>
      </c>
      <c r="H16" s="14">
        <f t="shared" si="5"/>
        <v>-866</v>
      </c>
      <c r="I16" s="26" t="s">
        <v>59</v>
      </c>
      <c r="J16" s="27" t="s">
        <v>60</v>
      </c>
      <c r="K16" s="26">
        <v>-866</v>
      </c>
      <c r="L16" s="26" t="s">
        <v>61</v>
      </c>
      <c r="M16" s="27" t="s">
        <v>51</v>
      </c>
      <c r="N16" s="27"/>
      <c r="O16" s="28" t="s">
        <v>52</v>
      </c>
      <c r="P16" s="28" t="s">
        <v>53</v>
      </c>
    </row>
    <row r="17" spans="1:16" ht="12.75" customHeight="1" thickBot="1">
      <c r="A17" s="14" t="str">
        <f t="shared" si="0"/>
        <v> AAC 2.98 </v>
      </c>
      <c r="B17" s="6" t="str">
        <f t="shared" si="1"/>
        <v>I</v>
      </c>
      <c r="C17" s="14">
        <f t="shared" si="2"/>
        <v>27541.26</v>
      </c>
      <c r="D17" s="17" t="str">
        <f t="shared" si="3"/>
        <v>vis</v>
      </c>
      <c r="E17" s="25">
        <f>VLOOKUP(C17,Active!C$21:E$973,3,FALSE)</f>
        <v>-729.00111724041619</v>
      </c>
      <c r="F17" s="6" t="s">
        <v>46</v>
      </c>
      <c r="G17" s="17" t="str">
        <f t="shared" si="4"/>
        <v>27541.26</v>
      </c>
      <c r="H17" s="14">
        <f t="shared" si="5"/>
        <v>-729</v>
      </c>
      <c r="I17" s="26" t="s">
        <v>62</v>
      </c>
      <c r="J17" s="27" t="s">
        <v>63</v>
      </c>
      <c r="K17" s="26">
        <v>-729</v>
      </c>
      <c r="L17" s="26" t="s">
        <v>64</v>
      </c>
      <c r="M17" s="27" t="s">
        <v>65</v>
      </c>
      <c r="N17" s="27"/>
      <c r="O17" s="28" t="s">
        <v>66</v>
      </c>
      <c r="P17" s="28" t="s">
        <v>67</v>
      </c>
    </row>
    <row r="18" spans="1:16" ht="12.75" customHeight="1" thickBot="1">
      <c r="A18" s="14" t="str">
        <f t="shared" si="0"/>
        <v> AAC 2.98 </v>
      </c>
      <c r="B18" s="6" t="str">
        <f t="shared" si="1"/>
        <v>I</v>
      </c>
      <c r="C18" s="14">
        <f t="shared" si="2"/>
        <v>27816.240000000002</v>
      </c>
      <c r="D18" s="17" t="str">
        <f t="shared" si="3"/>
        <v>vis</v>
      </c>
      <c r="E18" s="25">
        <f>VLOOKUP(C18,Active!C$21:E$973,3,FALSE)</f>
        <v>-704.99965086236978</v>
      </c>
      <c r="F18" s="6" t="s">
        <v>46</v>
      </c>
      <c r="G18" s="17" t="str">
        <f t="shared" si="4"/>
        <v>27816.24</v>
      </c>
      <c r="H18" s="14">
        <f t="shared" si="5"/>
        <v>-705</v>
      </c>
      <c r="I18" s="26" t="s">
        <v>68</v>
      </c>
      <c r="J18" s="27" t="s">
        <v>69</v>
      </c>
      <c r="K18" s="26">
        <v>-705</v>
      </c>
      <c r="L18" s="26" t="s">
        <v>70</v>
      </c>
      <c r="M18" s="27" t="s">
        <v>65</v>
      </c>
      <c r="N18" s="27"/>
      <c r="O18" s="28" t="s">
        <v>66</v>
      </c>
      <c r="P18" s="28" t="s">
        <v>67</v>
      </c>
    </row>
    <row r="19" spans="1:16" ht="12.75" customHeight="1" thickBot="1">
      <c r="A19" s="14" t="str">
        <f t="shared" si="0"/>
        <v> AAC 2.98 </v>
      </c>
      <c r="B19" s="6" t="str">
        <f t="shared" si="1"/>
        <v>I</v>
      </c>
      <c r="C19" s="14">
        <f t="shared" si="2"/>
        <v>27873.51</v>
      </c>
      <c r="D19" s="17" t="str">
        <f t="shared" si="3"/>
        <v>vis</v>
      </c>
      <c r="E19" s="25">
        <f>VLOOKUP(C19,Active!C$21:E$973,3,FALSE)</f>
        <v>-700.00087284407516</v>
      </c>
      <c r="F19" s="6" t="s">
        <v>46</v>
      </c>
      <c r="G19" s="17" t="str">
        <f t="shared" si="4"/>
        <v>27873.51</v>
      </c>
      <c r="H19" s="14">
        <f t="shared" si="5"/>
        <v>-700</v>
      </c>
      <c r="I19" s="26" t="s">
        <v>71</v>
      </c>
      <c r="J19" s="27" t="s">
        <v>72</v>
      </c>
      <c r="K19" s="26">
        <v>-700</v>
      </c>
      <c r="L19" s="26" t="s">
        <v>64</v>
      </c>
      <c r="M19" s="27" t="s">
        <v>65</v>
      </c>
      <c r="N19" s="27"/>
      <c r="O19" s="28" t="s">
        <v>66</v>
      </c>
      <c r="P19" s="28" t="s">
        <v>67</v>
      </c>
    </row>
    <row r="20" spans="1:16" ht="12.75" customHeight="1" thickBot="1">
      <c r="A20" s="14" t="str">
        <f t="shared" si="0"/>
        <v> MVS 2.123 </v>
      </c>
      <c r="B20" s="6" t="str">
        <f t="shared" si="1"/>
        <v>I</v>
      </c>
      <c r="C20" s="14">
        <f t="shared" si="2"/>
        <v>35778.654000000002</v>
      </c>
      <c r="D20" s="17" t="str">
        <f t="shared" si="3"/>
        <v>vis</v>
      </c>
      <c r="E20" s="25">
        <f>VLOOKUP(C20,Active!C$21:E$973,3,FALSE)</f>
        <v>-10.00506249563548</v>
      </c>
      <c r="F20" s="6" t="s">
        <v>46</v>
      </c>
      <c r="G20" s="17" t="str">
        <f t="shared" si="4"/>
        <v>35778.654</v>
      </c>
      <c r="H20" s="14">
        <f t="shared" si="5"/>
        <v>-10</v>
      </c>
      <c r="I20" s="26" t="s">
        <v>73</v>
      </c>
      <c r="J20" s="27" t="s">
        <v>74</v>
      </c>
      <c r="K20" s="26">
        <v>-10</v>
      </c>
      <c r="L20" s="26" t="s">
        <v>75</v>
      </c>
      <c r="M20" s="27" t="s">
        <v>51</v>
      </c>
      <c r="N20" s="27"/>
      <c r="O20" s="28" t="s">
        <v>76</v>
      </c>
      <c r="P20" s="28" t="s">
        <v>77</v>
      </c>
    </row>
    <row r="21" spans="1:16" ht="12.75" customHeight="1" thickBot="1">
      <c r="A21" s="14" t="str">
        <f t="shared" si="0"/>
        <v> AA 8.190 </v>
      </c>
      <c r="B21" s="6" t="str">
        <f t="shared" si="1"/>
        <v>I</v>
      </c>
      <c r="C21" s="14">
        <f t="shared" si="2"/>
        <v>35893.31</v>
      </c>
      <c r="D21" s="17" t="str">
        <f t="shared" si="3"/>
        <v>vis</v>
      </c>
      <c r="E21" s="25">
        <f>VLOOKUP(C21,Active!C$21:E$973,3,FALSE)</f>
        <v>2.6185322253016417E-3</v>
      </c>
      <c r="F21" s="6" t="s">
        <v>46</v>
      </c>
      <c r="G21" s="17" t="str">
        <f t="shared" si="4"/>
        <v>35893.31</v>
      </c>
      <c r="H21" s="14">
        <f t="shared" si="5"/>
        <v>0</v>
      </c>
      <c r="I21" s="26" t="s">
        <v>78</v>
      </c>
      <c r="J21" s="27" t="s">
        <v>79</v>
      </c>
      <c r="K21" s="26">
        <v>0</v>
      </c>
      <c r="L21" s="26" t="s">
        <v>80</v>
      </c>
      <c r="M21" s="27" t="s">
        <v>65</v>
      </c>
      <c r="N21" s="27"/>
      <c r="O21" s="28" t="s">
        <v>81</v>
      </c>
      <c r="P21" s="28" t="s">
        <v>82</v>
      </c>
    </row>
    <row r="22" spans="1:16" ht="12.75" customHeight="1" thickBot="1">
      <c r="A22" s="14" t="str">
        <f t="shared" si="0"/>
        <v> HABZ 92 </v>
      </c>
      <c r="B22" s="6" t="str">
        <f t="shared" si="1"/>
        <v>I</v>
      </c>
      <c r="C22" s="14">
        <f t="shared" si="2"/>
        <v>37348.358</v>
      </c>
      <c r="D22" s="17" t="str">
        <f t="shared" si="3"/>
        <v>vis</v>
      </c>
      <c r="E22" s="25">
        <f>VLOOKUP(C22,Active!C$21:E$973,3,FALSE)</f>
        <v>127.00562111584399</v>
      </c>
      <c r="F22" s="6" t="s">
        <v>46</v>
      </c>
      <c r="G22" s="17" t="str">
        <f t="shared" si="4"/>
        <v>37348.358</v>
      </c>
      <c r="H22" s="14">
        <f t="shared" si="5"/>
        <v>127</v>
      </c>
      <c r="I22" s="26" t="s">
        <v>83</v>
      </c>
      <c r="J22" s="27" t="s">
        <v>84</v>
      </c>
      <c r="K22" s="26">
        <v>127</v>
      </c>
      <c r="L22" s="26" t="s">
        <v>85</v>
      </c>
      <c r="M22" s="27" t="s">
        <v>51</v>
      </c>
      <c r="N22" s="27"/>
      <c r="O22" s="28" t="s">
        <v>86</v>
      </c>
      <c r="P22" s="28" t="s">
        <v>87</v>
      </c>
    </row>
    <row r="23" spans="1:16" ht="12.75" customHeight="1" thickBot="1">
      <c r="A23" s="14" t="str">
        <f t="shared" si="0"/>
        <v>BAVM 203 </v>
      </c>
      <c r="B23" s="6" t="str">
        <f t="shared" si="1"/>
        <v>I</v>
      </c>
      <c r="C23" s="14">
        <f t="shared" si="2"/>
        <v>54831.532099999997</v>
      </c>
      <c r="D23" s="17" t="str">
        <f t="shared" si="3"/>
        <v>vis</v>
      </c>
      <c r="E23" s="25">
        <f>VLOOKUP(C23,Active!C$21:E$973,3,FALSE)</f>
        <v>1653.0141138886947</v>
      </c>
      <c r="F23" s="6" t="s">
        <v>46</v>
      </c>
      <c r="G23" s="17" t="str">
        <f t="shared" si="4"/>
        <v>54831.5321</v>
      </c>
      <c r="H23" s="14">
        <f t="shared" si="5"/>
        <v>1653</v>
      </c>
      <c r="I23" s="26" t="s">
        <v>101</v>
      </c>
      <c r="J23" s="27" t="s">
        <v>102</v>
      </c>
      <c r="K23" s="26">
        <v>1653</v>
      </c>
      <c r="L23" s="26" t="s">
        <v>103</v>
      </c>
      <c r="M23" s="27" t="s">
        <v>104</v>
      </c>
      <c r="N23" s="27" t="s">
        <v>105</v>
      </c>
      <c r="O23" s="28" t="s">
        <v>106</v>
      </c>
      <c r="P23" s="29" t="s">
        <v>107</v>
      </c>
    </row>
    <row r="24" spans="1:16">
      <c r="B24" s="6"/>
      <c r="F24" s="6"/>
    </row>
    <row r="25" spans="1:16">
      <c r="B25" s="6"/>
      <c r="F25" s="6"/>
    </row>
    <row r="26" spans="1:16">
      <c r="B26" s="6"/>
      <c r="F26" s="6"/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</sheetData>
  <phoneticPr fontId="7" type="noConversion"/>
  <hyperlinks>
    <hyperlink ref="P23" r:id="rId1" display="http://www.bav-astro.de/sfs/BAVM_link.php?BAVMnr=203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2024-02-11T04:33:05Z</dcterms:modified>
</cp:coreProperties>
</file>