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6E36312-FC46-4894-8A9F-5EF26E4C3C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F14" i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G11" i="1"/>
  <c r="F11" i="1"/>
  <c r="Q22" i="1"/>
  <c r="Q23" i="1"/>
  <c r="Q24" i="1"/>
  <c r="Q25" i="1"/>
  <c r="E21" i="1"/>
  <c r="F21" i="1" s="1"/>
  <c r="G21" i="1" s="1"/>
  <c r="H21" i="1" s="1"/>
  <c r="C17" i="1"/>
  <c r="Q21" i="1"/>
  <c r="C12" i="1"/>
  <c r="F15" i="1" l="1"/>
  <c r="C16" i="1"/>
  <c r="D18" i="1" s="1"/>
  <c r="C11" i="1"/>
  <c r="O26" i="1" l="1"/>
  <c r="S26" i="1" s="1"/>
  <c r="O25" i="1"/>
  <c r="S25" i="1" s="1"/>
  <c r="O21" i="1"/>
  <c r="S21" i="1" s="1"/>
  <c r="O23" i="1"/>
  <c r="S23" i="1" s="1"/>
  <c r="O22" i="1"/>
  <c r="S22" i="1" s="1"/>
  <c r="C15" i="1"/>
  <c r="O24" i="1"/>
  <c r="S24" i="1" s="1"/>
  <c r="F16" i="1" l="1"/>
  <c r="F18" i="1" s="1"/>
  <c r="C18" i="1"/>
  <c r="S19" i="1"/>
  <c r="F17" i="1" l="1"/>
</calcChain>
</file>

<file path=xl/sharedStrings.xml><?xml version="1.0" encoding="utf-8"?>
<sst xmlns="http://schemas.openxmlformats.org/spreadsheetml/2006/main" count="68" uniqueCount="56">
  <si>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</si>
  <si>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</si>
  <si>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</si>
  <si>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</si>
  <si>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</si>
  <si>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</si>
  <si>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</si>
  <si>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</si>
  <si>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</si>
  <si>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</si>
  <si>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</si>
  <si>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</si>
  <si>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</si>
  <si>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</si>
  <si>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</si>
  <si>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</si>
  <si>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</si>
  <si>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</si>
  <si>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</si>
  <si>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</si>
  <si>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</si>
  <si>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</si>
  <si>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</si>
  <si>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</si>
  <si>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</si>
  <si>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</si>
  <si>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</si>
  <si>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</si>
  <si>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</si>
  <si>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</si>
  <si>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</si>
  <si>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</si>
  <si>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</si>
  <si>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</si>
  <si>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</si>
  <si>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</si>
  <si>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</si>
  <si>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</si>
  <si>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</si>
  <si>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RU Gru</t>
  </si>
  <si>
    <t>RU Gru / GSC 7503-0171</t>
  </si>
  <si>
    <t>Gru_RU.xls</t>
  </si>
  <si>
    <t>EA</t>
  </si>
  <si>
    <t>Gru</t>
  </si>
  <si>
    <t>G7503-0171</t>
  </si>
  <si>
    <t>Kreiner</t>
  </si>
  <si>
    <t>VSS_2013-01-28</t>
  </si>
  <si>
    <t>I</t>
  </si>
  <si>
    <t>CCD</t>
  </si>
  <si>
    <t xml:space="preserve">Mag </t>
  </si>
  <si>
    <t>Next ToM-P</t>
  </si>
  <si>
    <t>Next ToM-S</t>
  </si>
  <si>
    <t>10.98-11.78</t>
  </si>
  <si>
    <t>VSX</t>
  </si>
  <si>
    <t>S3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</si>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</sst>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6" fillId="0" borderId="8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0" borderId="0" xfId="0" applyFont="1" applyAlignment="1">
      <alignment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RU Gru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-3082</c:v>
                </c:pt>
                <c:pt idx="1">
                  <c:v>-1337</c:v>
                </c:pt>
                <c:pt idx="2">
                  <c:v>-1309</c:v>
                </c:pt>
                <c:pt idx="3">
                  <c:v>-952</c:v>
                </c:pt>
                <c:pt idx="4">
                  <c:v>-924</c:v>
                </c:pt>
                <c:pt idx="5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-0.37887400000181515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CF-4C4B-B6D9-1561B65EB3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-3082</c:v>
                </c:pt>
                <c:pt idx="1">
                  <c:v>-1337</c:v>
                </c:pt>
                <c:pt idx="2">
                  <c:v>-1309</c:v>
                </c:pt>
                <c:pt idx="3">
                  <c:v>-952</c:v>
                </c:pt>
                <c:pt idx="4">
                  <c:v>-924</c:v>
                </c:pt>
                <c:pt idx="5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1.7509999961475842E-3</c:v>
                </c:pt>
                <c:pt idx="2">
                  <c:v>6.3569999983883463E-3</c:v>
                </c:pt>
                <c:pt idx="3">
                  <c:v>5.1959999909740873E-3</c:v>
                </c:pt>
                <c:pt idx="4">
                  <c:v>5.2819999982602894E-3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CF-4C4B-B6D9-1561B65EB3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-3082</c:v>
                </c:pt>
                <c:pt idx="1">
                  <c:v>-1337</c:v>
                </c:pt>
                <c:pt idx="2">
                  <c:v>-1309</c:v>
                </c:pt>
                <c:pt idx="3">
                  <c:v>-952</c:v>
                </c:pt>
                <c:pt idx="4">
                  <c:v>-924</c:v>
                </c:pt>
                <c:pt idx="5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CF-4C4B-B6D9-1561B65EB3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-3082</c:v>
                </c:pt>
                <c:pt idx="1">
                  <c:v>-1337</c:v>
                </c:pt>
                <c:pt idx="2">
                  <c:v>-1309</c:v>
                </c:pt>
                <c:pt idx="3">
                  <c:v>-952</c:v>
                </c:pt>
                <c:pt idx="4">
                  <c:v>-924</c:v>
                </c:pt>
                <c:pt idx="5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CF-4C4B-B6D9-1561B65EB3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-3082</c:v>
                </c:pt>
                <c:pt idx="1">
                  <c:v>-1337</c:v>
                </c:pt>
                <c:pt idx="2">
                  <c:v>-1309</c:v>
                </c:pt>
                <c:pt idx="3">
                  <c:v>-952</c:v>
                </c:pt>
                <c:pt idx="4">
                  <c:v>-924</c:v>
                </c:pt>
                <c:pt idx="5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CF-4C4B-B6D9-1561B65EB3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-3082</c:v>
                </c:pt>
                <c:pt idx="1">
                  <c:v>-1337</c:v>
                </c:pt>
                <c:pt idx="2">
                  <c:v>-1309</c:v>
                </c:pt>
                <c:pt idx="3">
                  <c:v>-952</c:v>
                </c:pt>
                <c:pt idx="4">
                  <c:v>-924</c:v>
                </c:pt>
                <c:pt idx="5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CF-4C4B-B6D9-1561B65EB3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1.2E-4</c:v>
                  </c:pt>
                  <c:pt idx="2">
                    <c:v>1.5499999999999999E-3</c:v>
                  </c:pt>
                  <c:pt idx="3">
                    <c:v>1.34E-3</c:v>
                  </c:pt>
                  <c:pt idx="4">
                    <c:v>1.5399999999999999E-3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-3082</c:v>
                </c:pt>
                <c:pt idx="1">
                  <c:v>-1337</c:v>
                </c:pt>
                <c:pt idx="2">
                  <c:v>-1309</c:v>
                </c:pt>
                <c:pt idx="3">
                  <c:v>-952</c:v>
                </c:pt>
                <c:pt idx="4">
                  <c:v>-924</c:v>
                </c:pt>
                <c:pt idx="5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CF-4C4B-B6D9-1561B65EB3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-3082</c:v>
                </c:pt>
                <c:pt idx="1">
                  <c:v>-1337</c:v>
                </c:pt>
                <c:pt idx="2">
                  <c:v>-1309</c:v>
                </c:pt>
                <c:pt idx="3">
                  <c:v>-952</c:v>
                </c:pt>
                <c:pt idx="4">
                  <c:v>-924</c:v>
                </c:pt>
                <c:pt idx="5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1.0558733057368297E-2</c:v>
                </c:pt>
                <c:pt idx="1">
                  <c:v>5.0763326207537481E-3</c:v>
                </c:pt>
                <c:pt idx="2">
                  <c:v>4.9883628716275545E-3</c:v>
                </c:pt>
                <c:pt idx="3">
                  <c:v>3.8667485702685899E-3</c:v>
                </c:pt>
                <c:pt idx="4">
                  <c:v>3.7787788211423967E-3</c:v>
                </c:pt>
                <c:pt idx="5">
                  <c:v>8.7577709997801664E-4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CF-4C4B-B6D9-1561B65EB34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-3082</c:v>
                </c:pt>
                <c:pt idx="1">
                  <c:v>-1337</c:v>
                </c:pt>
                <c:pt idx="2">
                  <c:v>-1309</c:v>
                </c:pt>
                <c:pt idx="3">
                  <c:v>-952</c:v>
                </c:pt>
                <c:pt idx="4">
                  <c:v>-924</c:v>
                </c:pt>
                <c:pt idx="5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CF-4C4B-B6D9-1561B65EB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697288"/>
        <c:axId val="1"/>
      </c:scatterChart>
      <c:valAx>
        <c:axId val="705697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697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18</xdr:col>
      <xdr:colOff>409575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F35550-6D6C-9828-D4AD-C60FD233B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5" sqref="F35"/>
    </sheetView>
  </sheetViews>
  <sheetFormatPr defaultColWidth="10.28515625" defaultRowHeight="12.75" x14ac:dyDescent="0.2"/>
  <cols>
    <col min="1" max="1" width="15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t="s">
        <v>41</v>
      </c>
    </row>
    <row r="2" spans="1:7" x14ac:dyDescent="0.2">
      <c r="A2" t="s">
        <v>23</v>
      </c>
      <c r="B2" t="s">
        <v>42</v>
      </c>
      <c r="C2" s="28" t="s">
        <v>38</v>
      </c>
      <c r="D2" s="3" t="s">
        <v>43</v>
      </c>
      <c r="E2" s="29" t="s">
        <v>39</v>
      </c>
      <c r="F2" t="s">
        <v>44</v>
      </c>
    </row>
    <row r="3" spans="1:7" ht="13.5" thickBot="1" x14ac:dyDescent="0.25">
      <c r="E3" t="s">
        <v>44</v>
      </c>
    </row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  <c r="E6" s="43" t="s">
        <v>45</v>
      </c>
    </row>
    <row r="7" spans="1:7" x14ac:dyDescent="0.2">
      <c r="A7" t="s">
        <v>2</v>
      </c>
      <c r="C7" s="33">
        <v>58336.299700000003</v>
      </c>
      <c r="D7" s="27" t="s">
        <v>53</v>
      </c>
      <c r="E7" s="44">
        <v>52501.1</v>
      </c>
    </row>
    <row r="8" spans="1:7" x14ac:dyDescent="0.2">
      <c r="A8" t="s">
        <v>3</v>
      </c>
      <c r="C8" s="33">
        <v>1.8931929999999999</v>
      </c>
      <c r="D8" s="27" t="s">
        <v>53</v>
      </c>
      <c r="E8" s="45">
        <v>1.89313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8.7577709997801664E-4</v>
      </c>
      <c r="D11" s="3"/>
      <c r="E11" s="10"/>
      <c r="F11" s="20" t="str">
        <f>"F"&amp;E19</f>
        <v>F22</v>
      </c>
      <c r="G11" s="21" t="str">
        <f>"G"&amp;E19</f>
        <v>G22</v>
      </c>
    </row>
    <row r="12" spans="1:7" x14ac:dyDescent="0.2">
      <c r="A12" s="10" t="s">
        <v>16</v>
      </c>
      <c r="B12" s="10"/>
      <c r="C12" s="19">
        <f ca="1">SLOPE(INDIRECT($G$11):G992,INDIRECT($F$11):F992)</f>
        <v>-3.1417767545069046E-6</v>
      </c>
      <c r="D12" s="3"/>
      <c r="E12" s="37" t="s">
        <v>49</v>
      </c>
      <c r="F12" s="38" t="s">
        <v>52</v>
      </c>
    </row>
    <row r="13" spans="1:7" x14ac:dyDescent="0.2">
      <c r="A13" s="10" t="s">
        <v>18</v>
      </c>
      <c r="B13" s="10"/>
      <c r="C13" s="3" t="s">
        <v>13</v>
      </c>
      <c r="D13" s="14"/>
      <c r="E13" s="34" t="s">
        <v>34</v>
      </c>
      <c r="F13" s="39">
        <v>1</v>
      </c>
    </row>
    <row r="14" spans="1:7" x14ac:dyDescent="0.2">
      <c r="A14" s="10"/>
      <c r="B14" s="10"/>
      <c r="C14" s="10"/>
      <c r="D14" s="14"/>
      <c r="E14" s="34" t="s">
        <v>31</v>
      </c>
      <c r="F14" s="40">
        <f ca="1">NOW()+15018.5+$C$9/24</f>
        <v>60537.772106828699</v>
      </c>
    </row>
    <row r="15" spans="1:7" x14ac:dyDescent="0.2">
      <c r="A15" s="12" t="s">
        <v>17</v>
      </c>
      <c r="B15" s="10"/>
      <c r="C15" s="13">
        <f ca="1">(C7+C11)+(C8+C12)*INT(MAX(F21:F3533))</f>
        <v>58336.300575777102</v>
      </c>
      <c r="D15" s="14"/>
      <c r="E15" s="34" t="s">
        <v>35</v>
      </c>
      <c r="F15" s="40">
        <f ca="1">ROUND(2*($F$14-$C$7)/$C$8,0)/2+$F$13</f>
        <v>1164</v>
      </c>
    </row>
    <row r="16" spans="1:7" x14ac:dyDescent="0.2">
      <c r="A16" s="15" t="s">
        <v>4</v>
      </c>
      <c r="B16" s="10"/>
      <c r="C16" s="16">
        <f ca="1">+C8+C12</f>
        <v>1.8931898582232454</v>
      </c>
      <c r="D16" s="14"/>
      <c r="E16" s="34" t="s">
        <v>36</v>
      </c>
      <c r="F16" s="40">
        <f ca="1">ROUND(2*($F$14-$C$15)/$C$16,0)/2+$F$13</f>
        <v>1164</v>
      </c>
    </row>
    <row r="17" spans="1:19" ht="13.5" thickBot="1" x14ac:dyDescent="0.25">
      <c r="A17" s="14" t="s">
        <v>28</v>
      </c>
      <c r="B17" s="10"/>
      <c r="C17" s="10">
        <f>COUNT(C21:C2191)</f>
        <v>6</v>
      </c>
      <c r="D17" s="14"/>
      <c r="E17" s="35" t="s">
        <v>50</v>
      </c>
      <c r="F17" s="41">
        <f ca="1">+$C$15+$C$16*$F$16-15018.5-$C$9/24</f>
        <v>45521.869404082296</v>
      </c>
    </row>
    <row r="18" spans="1:19" ht="14.25" thickTop="1" thickBot="1" x14ac:dyDescent="0.25">
      <c r="A18" s="15" t="s">
        <v>5</v>
      </c>
      <c r="B18" s="10"/>
      <c r="C18" s="17">
        <f ca="1">+C15</f>
        <v>58336.300575777102</v>
      </c>
      <c r="D18" s="18">
        <f ca="1">+C16</f>
        <v>1.8931898582232454</v>
      </c>
      <c r="E18" s="36" t="s">
        <v>51</v>
      </c>
      <c r="F18" s="42">
        <f ca="1">+($C$15+$C$16*$F$16)-($C$16/2)-15018.5-$C$9/24</f>
        <v>45520.922809153184</v>
      </c>
    </row>
    <row r="19" spans="1:19" ht="13.5" thickTop="1" x14ac:dyDescent="0.2">
      <c r="A19" s="22" t="s">
        <v>32</v>
      </c>
      <c r="E19" s="23">
        <v>22</v>
      </c>
      <c r="S19">
        <f ca="1">SQRT(SUM(S21:S50)/(COUNT(S21:S50)-1))</f>
        <v>0.17416978966018756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55</v>
      </c>
      <c r="I20" s="7" t="s">
        <v>48</v>
      </c>
      <c r="J20" s="7" t="s">
        <v>54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">
        <v>45</v>
      </c>
      <c r="C21" s="8">
        <v>52501.1</v>
      </c>
      <c r="D21" s="8" t="s">
        <v>13</v>
      </c>
      <c r="E21">
        <f>+(C21-C$7)/C$8</f>
        <v>-3082.2001243402046</v>
      </c>
      <c r="F21">
        <f>ROUND(2*E21,0)/2</f>
        <v>-3082</v>
      </c>
      <c r="G21">
        <f>+C21-(C$7+F21*C$8)</f>
        <v>-0.37887400000181515</v>
      </c>
      <c r="H21">
        <f>+G21</f>
        <v>-0.37887400000181515</v>
      </c>
      <c r="O21">
        <f ca="1">+C$11+C$12*$F21</f>
        <v>1.0558733057368297E-2</v>
      </c>
      <c r="Q21" s="2">
        <f>+C21-15018.5</f>
        <v>37482.6</v>
      </c>
      <c r="S21">
        <f ca="1">+(O21-G21)^2</f>
        <v>0.15165785357794526</v>
      </c>
    </row>
    <row r="22" spans="1:19" x14ac:dyDescent="0.2">
      <c r="A22" s="30" t="s">
        <v>46</v>
      </c>
      <c r="B22" s="31" t="s">
        <v>47</v>
      </c>
      <c r="C22" s="32">
        <v>55805.10241</v>
      </c>
      <c r="D22" s="32">
        <v>1.2E-4</v>
      </c>
      <c r="E22">
        <f>+(C22-C$7)/C$8</f>
        <v>-1336.9990751075056</v>
      </c>
      <c r="F22">
        <f>ROUND(2*E22,0)/2</f>
        <v>-1337</v>
      </c>
      <c r="G22">
        <f>+C22-(C$7+F22*C$8)</f>
        <v>1.7509999961475842E-3</v>
      </c>
      <c r="I22">
        <f>+G22</f>
        <v>1.7509999961475842E-3</v>
      </c>
      <c r="O22">
        <f ca="1">+C$11+C$12*$F22</f>
        <v>5.0763326207537481E-3</v>
      </c>
      <c r="Q22" s="2">
        <f>+C22-15018.5</f>
        <v>40786.60241</v>
      </c>
      <c r="S22">
        <f ca="1">+(O22-G22)^2</f>
        <v>1.105783706427012E-5</v>
      </c>
    </row>
    <row r="23" spans="1:19" x14ac:dyDescent="0.2">
      <c r="A23" s="30" t="s">
        <v>46</v>
      </c>
      <c r="B23" s="31" t="s">
        <v>47</v>
      </c>
      <c r="C23" s="32">
        <v>55858.116419999998</v>
      </c>
      <c r="D23" s="32">
        <v>1.5499999999999999E-3</v>
      </c>
      <c r="E23">
        <f>+(C23-C$7)/C$8</f>
        <v>-1308.9966421806994</v>
      </c>
      <c r="F23">
        <f>ROUND(2*E23,0)/2</f>
        <v>-1309</v>
      </c>
      <c r="G23">
        <f>+C23-(C$7+F23*C$8)</f>
        <v>6.3569999983883463E-3</v>
      </c>
      <c r="I23">
        <f>+G23</f>
        <v>6.3569999983883463E-3</v>
      </c>
      <c r="O23">
        <f ca="1">+C$11+C$12*$F23</f>
        <v>4.9883628716275545E-3</v>
      </c>
      <c r="Q23" s="2">
        <f>+C23-15018.5</f>
        <v>40839.616419999998</v>
      </c>
      <c r="S23">
        <f ca="1">+(O23-G23)^2</f>
        <v>1.8731675847480356E-6</v>
      </c>
    </row>
    <row r="24" spans="1:19" x14ac:dyDescent="0.2">
      <c r="A24" s="30" t="s">
        <v>46</v>
      </c>
      <c r="B24" s="31" t="s">
        <v>47</v>
      </c>
      <c r="C24" s="32">
        <v>56533.985159999997</v>
      </c>
      <c r="D24" s="32">
        <v>1.34E-3</v>
      </c>
      <c r="E24">
        <f>+(C24-C$7)/C$8</f>
        <v>-951.99725543037971</v>
      </c>
      <c r="F24">
        <f>ROUND(2*E24,0)/2</f>
        <v>-952</v>
      </c>
      <c r="G24">
        <f>+C24-(C$7+F24*C$8)</f>
        <v>5.1959999909740873E-3</v>
      </c>
      <c r="I24">
        <f>+G24</f>
        <v>5.1959999909740873E-3</v>
      </c>
      <c r="O24">
        <f ca="1">+C$11+C$12*$F24</f>
        <v>3.8667485702685899E-3</v>
      </c>
      <c r="Q24" s="2">
        <f>+C24-15018.5</f>
        <v>41515.485159999997</v>
      </c>
      <c r="S24">
        <f ca="1">+(O24-G24)^2</f>
        <v>1.7669093394475833E-6</v>
      </c>
    </row>
    <row r="25" spans="1:19" x14ac:dyDescent="0.2">
      <c r="A25" s="30" t="s">
        <v>46</v>
      </c>
      <c r="B25" s="31" t="s">
        <v>47</v>
      </c>
      <c r="C25" s="32">
        <v>56586.994650000001</v>
      </c>
      <c r="D25" s="32">
        <v>1.5399999999999999E-3</v>
      </c>
      <c r="E25">
        <f>+(C25-C$7)/C$8</f>
        <v>-923.99721000447539</v>
      </c>
      <c r="F25">
        <f>ROUND(2*E25,0)/2</f>
        <v>-924</v>
      </c>
      <c r="G25">
        <f>+C25-(C$7+F25*C$8)</f>
        <v>5.2819999982602894E-3</v>
      </c>
      <c r="I25">
        <f>+G25</f>
        <v>5.2819999982602894E-3</v>
      </c>
      <c r="O25">
        <f ca="1">+C$11+C$12*$F25</f>
        <v>3.7787788211423967E-3</v>
      </c>
      <c r="Q25" s="2">
        <f>+C25-15018.5</f>
        <v>41568.494650000001</v>
      </c>
      <c r="S25">
        <f ca="1">+(O25-G25)^2</f>
        <v>2.2596739073357029E-6</v>
      </c>
    </row>
    <row r="26" spans="1:19" x14ac:dyDescent="0.2">
      <c r="A26" s="46" t="s">
        <v>53</v>
      </c>
      <c r="C26" s="8">
        <v>58336.299700000003</v>
      </c>
      <c r="D26" s="8"/>
      <c r="E26">
        <f>+(C26-C$7)/C$8</f>
        <v>0</v>
      </c>
      <c r="F26">
        <f>ROUND(2*E26,0)/2</f>
        <v>0</v>
      </c>
      <c r="G26">
        <f>+C26-(C$7+F26*C$8)</f>
        <v>0</v>
      </c>
      <c r="I26">
        <f>+G26</f>
        <v>0</v>
      </c>
      <c r="O26">
        <f ca="1">+C$11+C$12*$F26</f>
        <v>8.7577709997801664E-4</v>
      </c>
      <c r="Q26" s="2">
        <f>+C26-15018.5</f>
        <v>43317.799700000003</v>
      </c>
      <c r="S26">
        <f ca="1">+(O26-G26)^2</f>
        <v>7.6698552884590496E-7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2024-08-15T06:31:50Z</dcterms:modified>
</cp:coreProperties>
</file>