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4ACCBD9-E647-485C-9260-AA3E60B495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/>
  <c r="G22" i="1"/>
  <c r="I22" i="1"/>
  <c r="Q22" i="1"/>
  <c r="C21" i="1"/>
  <c r="G11" i="1"/>
  <c r="F11" i="1"/>
  <c r="E21" i="1"/>
  <c r="F21" i="1"/>
  <c r="G21" i="1"/>
  <c r="H21" i="1"/>
  <c r="C17" i="1"/>
  <c r="Q21" i="1"/>
  <c r="C11" i="1"/>
  <c r="F15" i="1" l="1"/>
  <c r="C12" i="1"/>
  <c r="O22" i="1" l="1"/>
  <c r="C15" i="1"/>
  <c r="C16" i="1"/>
  <c r="D18" i="1" s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<sst xmlns="http://schemas.openxmlformats.org/spreadsheetml/2006/main" count="54" uniqueCount="49">
  <si>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</si>
  <si>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</si>
  <si>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</si>
  <si>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</si>
  <si>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</si>
  <si>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</si>
  <si>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</si>
  <si>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</si>
  <si>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</si>
  <si>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</si>
  <si>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</si>
  <si>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</si>
  <si>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</si>
  <si>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</si>
  <si>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</si>
  <si>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</si>
  <si>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</si>
  <si>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</si>
  <si>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</si>
  <si>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</si>
  <si>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</si>
  <si>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</si>
  <si>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</si>
  <si>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</si>
  <si>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</si>
  <si>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</si>
  <si>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</si>
  <si>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</si>
  <si>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</si>
  <si>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</si>
  <si>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</si>
  <si>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</si>
  <si>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</si>
  <si>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</si>
  <si>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</si>
  <si>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</si>
  <si>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</si>
  <si>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</si>
  <si>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</si>
  <si>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</si>
  <si>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RX Gru / GSC 8008-0397</t>
  </si>
  <si>
    <t>EA</t>
  </si>
  <si>
    <t>IBVS 6093</t>
  </si>
  <si>
    <t>I</t>
  </si>
  <si>
    <t>CCD</t>
  </si>
  <si>
    <t xml:space="preserve">Mag </t>
  </si>
  <si>
    <t>Next ToM-P</t>
  </si>
  <si>
    <t>Next ToM-S</t>
  </si>
  <si>
    <t>10.50-10.80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</si>
</sst>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6" fillId="0" borderId="7" xfId="0" applyFont="1" applyBorder="1" applyAlignment="1">
      <alignment horizontal="right" vertical="center"/>
    </xf>
    <xf numFmtId="22" fontId="16" fillId="0" borderId="7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15" fillId="2" borderId="5" xfId="0" applyFont="1" applyFill="1" applyBorder="1" applyAlignment="1">
      <alignment horizontal="right" vertical="center"/>
    </xf>
    <xf numFmtId="0" fontId="15" fillId="2" borderId="6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22" fontId="18" fillId="0" borderId="8" xfId="0" applyNumberFormat="1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RX Gru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29858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08-4A2C-AF2D-57A5C6564E5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29858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-1.7278000006626826E-2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08-4A2C-AF2D-57A5C6564E5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29858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308-4A2C-AF2D-57A5C6564E5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29858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308-4A2C-AF2D-57A5C6564E5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29858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308-4A2C-AF2D-57A5C6564E5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29858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308-4A2C-AF2D-57A5C6564E5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29858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308-4A2C-AF2D-57A5C6564E5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29858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-1.7278000006626826E-2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308-4A2C-AF2D-57A5C6564E5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29858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308-4A2C-AF2D-57A5C6564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9266592"/>
        <c:axId val="1"/>
      </c:scatterChart>
      <c:valAx>
        <c:axId val="779266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92665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17</xdr:col>
      <xdr:colOff>581025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8E8A61D-8395-11D1-97F3-2119BC27D0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3.42578125" customWidth="1"/>
    <col min="6" max="6" width="16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x14ac:dyDescent="0.2">
      <c r="A2" t="s">
        <v>23</v>
      </c>
      <c r="B2" t="s">
        <v>41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5" t="s">
        <v>38</v>
      </c>
      <c r="D4" s="26" t="s">
        <v>38</v>
      </c>
    </row>
    <row r="6" spans="1:7" x14ac:dyDescent="0.2">
      <c r="A6" s="5" t="s">
        <v>1</v>
      </c>
    </row>
    <row r="7" spans="1:7" x14ac:dyDescent="0.2">
      <c r="A7" t="s">
        <v>2</v>
      </c>
      <c r="C7" s="30">
        <v>34357.410000000003</v>
      </c>
      <c r="D7" s="27" t="s">
        <v>39</v>
      </c>
    </row>
    <row r="8" spans="1:7" x14ac:dyDescent="0.2">
      <c r="A8" t="s">
        <v>3</v>
      </c>
      <c r="C8" s="30">
        <v>0.74314100000000005</v>
      </c>
      <c r="D8" s="27" t="s">
        <v>39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0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x14ac:dyDescent="0.2">
      <c r="A12" s="10" t="s">
        <v>16</v>
      </c>
      <c r="B12" s="10"/>
      <c r="C12" s="19">
        <f ca="1">SLOPE(INDIRECT($G$11):G992,INDIRECT($F$11):F992)</f>
        <v>-5.7867238283297023E-7</v>
      </c>
      <c r="D12" s="3"/>
      <c r="E12" s="34" t="s">
        <v>45</v>
      </c>
      <c r="F12" s="35" t="s">
        <v>48</v>
      </c>
    </row>
    <row r="13" spans="1:7" x14ac:dyDescent="0.2">
      <c r="A13" s="10" t="s">
        <v>18</v>
      </c>
      <c r="B13" s="10"/>
      <c r="C13" s="3" t="s">
        <v>13</v>
      </c>
      <c r="D13" s="14"/>
      <c r="E13" s="31" t="s">
        <v>35</v>
      </c>
      <c r="F13" s="36">
        <v>1</v>
      </c>
    </row>
    <row r="14" spans="1:7" x14ac:dyDescent="0.2">
      <c r="A14" s="10"/>
      <c r="B14" s="10"/>
      <c r="C14" s="10"/>
      <c r="D14" s="14"/>
      <c r="E14" s="31" t="s">
        <v>32</v>
      </c>
      <c r="F14" s="37">
        <f ca="1">NOW()+15018.5+$C$9/24</f>
        <v>60537.783574884255</v>
      </c>
    </row>
    <row r="15" spans="1:7" x14ac:dyDescent="0.2">
      <c r="A15" s="12" t="s">
        <v>17</v>
      </c>
      <c r="B15" s="10"/>
      <c r="C15" s="13">
        <f ca="1">(C7+C11)+(C8+C12)*INT(MAX(F21:F3533))</f>
        <v>56546.096699999995</v>
      </c>
      <c r="D15" s="14"/>
      <c r="E15" s="31" t="s">
        <v>36</v>
      </c>
      <c r="F15" s="37">
        <f ca="1">ROUND(2*($F$14-$C$7)/$C$8,0)/2+$F$13</f>
        <v>35230.5</v>
      </c>
    </row>
    <row r="16" spans="1:7" x14ac:dyDescent="0.2">
      <c r="A16" s="15" t="s">
        <v>4</v>
      </c>
      <c r="B16" s="10"/>
      <c r="C16" s="16">
        <f ca="1">+C8+C12</f>
        <v>0.74314042132761726</v>
      </c>
      <c r="D16" s="14"/>
      <c r="E16" s="31" t="s">
        <v>37</v>
      </c>
      <c r="F16" s="37">
        <f ca="1">ROUND(2*($F$14-$C$15)/$C$16,0)/2+$F$13</f>
        <v>5372.5</v>
      </c>
    </row>
    <row r="17" spans="1:18" ht="13.5" thickBot="1" x14ac:dyDescent="0.25">
      <c r="A17" s="14" t="s">
        <v>29</v>
      </c>
      <c r="B17" s="10"/>
      <c r="C17" s="10">
        <f>COUNT(C21:C2191)</f>
        <v>2</v>
      </c>
      <c r="D17" s="14"/>
      <c r="E17" s="32" t="s">
        <v>46</v>
      </c>
      <c r="F17" s="38">
        <f ca="1">+$C$15+$C$16*$F$16-15018.5-$C$9/24</f>
        <v>45520.514446915957</v>
      </c>
    </row>
    <row r="18" spans="1:18" ht="14.25" thickTop="1" thickBot="1" x14ac:dyDescent="0.25">
      <c r="A18" s="15" t="s">
        <v>5</v>
      </c>
      <c r="B18" s="10"/>
      <c r="C18" s="17">
        <f ca="1">+C15</f>
        <v>56546.096699999995</v>
      </c>
      <c r="D18" s="18">
        <f ca="1">+C16</f>
        <v>0.74314042132761726</v>
      </c>
      <c r="E18" s="33" t="s">
        <v>47</v>
      </c>
      <c r="F18" s="39">
        <f ca="1">+($C$15+$C$16*$F$16)-($C$16/2)-15018.5-$C$9/24</f>
        <v>45520.142876705293</v>
      </c>
    </row>
    <row r="19" spans="1:18" ht="13.5" thickTop="1" x14ac:dyDescent="0.2">
      <c r="A19" s="22" t="s">
        <v>33</v>
      </c>
      <c r="E19" s="23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39</v>
      </c>
      <c r="I20" s="7" t="s">
        <v>28</v>
      </c>
      <c r="J20" s="7" t="s">
        <v>44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4" t="s">
        <v>34</v>
      </c>
    </row>
    <row r="21" spans="1:18" x14ac:dyDescent="0.2">
      <c r="A21" t="s">
        <v>39</v>
      </c>
      <c r="C21" s="8">
        <f>C$7</f>
        <v>34357.410000000003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19338.910000000003</v>
      </c>
    </row>
    <row r="22" spans="1:18" x14ac:dyDescent="0.2">
      <c r="A22" s="28" t="s">
        <v>42</v>
      </c>
      <c r="B22" s="29" t="s">
        <v>43</v>
      </c>
      <c r="C22" s="28">
        <v>56546.096700000002</v>
      </c>
      <c r="D22" s="28">
        <v>2.9999999999999997E-4</v>
      </c>
      <c r="E22">
        <f>+(C22-C$7)/C$8</f>
        <v>29857.976750038011</v>
      </c>
      <c r="F22">
        <f>ROUND(2*E22,0)/2</f>
        <v>29858</v>
      </c>
      <c r="G22">
        <f>+C22-(C$7+F22*C$8)</f>
        <v>-1.7278000006626826E-2</v>
      </c>
      <c r="I22">
        <f>+G22</f>
        <v>-1.7278000006626826E-2</v>
      </c>
      <c r="O22">
        <f ca="1">+C$11+C$12*$F22</f>
        <v>-1.7278000006626826E-2</v>
      </c>
      <c r="Q22" s="2">
        <f>+C22-15018.5</f>
        <v>41527.596700000002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2024-08-15T06:48:20Z</dcterms:modified>
</cp:coreProperties>
</file>