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3F621DA-1081-4362-B971-EA464F659F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3" i="2" l="1"/>
  <c r="C13" i="2"/>
  <c r="G12" i="2"/>
  <c r="C12" i="2"/>
  <c r="E12" i="2"/>
  <c r="G11" i="2"/>
  <c r="C11" i="2"/>
  <c r="H13" i="2"/>
  <c r="D13" i="2"/>
  <c r="B13" i="2"/>
  <c r="A13" i="2"/>
  <c r="H12" i="2"/>
  <c r="D12" i="2"/>
  <c r="B12" i="2"/>
  <c r="A12" i="2"/>
  <c r="H11" i="2"/>
  <c r="D11" i="2"/>
  <c r="B11" i="2"/>
  <c r="A11" i="2"/>
  <c r="C9" i="1"/>
  <c r="D9" i="1"/>
  <c r="Q24" i="1"/>
  <c r="F16" i="1"/>
  <c r="F17" i="1" s="1"/>
  <c r="C17" i="1"/>
  <c r="Q23" i="1"/>
  <c r="Q22" i="1"/>
  <c r="C7" i="1"/>
  <c r="E23" i="1"/>
  <c r="F23" i="1"/>
  <c r="C8" i="1"/>
  <c r="Q21" i="1"/>
  <c r="E13" i="2"/>
  <c r="E11" i="2"/>
  <c r="E21" i="1"/>
  <c r="F21" i="1"/>
  <c r="E22" i="1"/>
  <c r="F22" i="1"/>
  <c r="E24" i="1"/>
  <c r="F24" i="1"/>
  <c r="G24" i="1"/>
  <c r="J24" i="1"/>
  <c r="G23" i="1"/>
  <c r="J23" i="1"/>
  <c r="G22" i="1"/>
  <c r="I22" i="1"/>
  <c r="C11" i="1"/>
  <c r="C12" i="1"/>
  <c r="C16" i="1" l="1"/>
  <c r="D18" i="1" s="1"/>
  <c r="O22" i="1"/>
  <c r="O23" i="1"/>
  <c r="O24" i="1"/>
  <c r="C15" i="1"/>
  <c r="O21" i="1"/>
  <c r="C18" i="1" l="1"/>
  <c r="F18" i="1"/>
  <c r="F19" i="1" s="1"/>
</calcChain>
</file>

<file path=xl/sharedStrings.xml><?xml version="1.0" encoding="utf-8"?>
<sst xmlns="http://schemas.openxmlformats.org/spreadsheetml/2006/main" count="87" uniqueCount="76">
  <si>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</si>
  <si>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</si>
  <si>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</si>
  <si>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</si>
  <si>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</si>
  <si>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</si>
  <si>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</si>
  <si>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</si>
  <si>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</si>
  <si>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</si>
  <si>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</si>
  <si>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</si>
  <si>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</si>
  <si>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</si>
  <si>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</si>
  <si>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</si>
  <si>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</si>
  <si>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</si>
  <si>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</si>
  <si>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</si>
  <si>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</si>
  <si>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</si>
  <si>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</si>
  <si>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</si>
  <si>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</si>
  <si>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</si>
  <si>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</si>
  <si>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</si>
  <si>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</si>
  <si>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Bull.115</t>
  </si>
  <si>
    <t>B</t>
  </si>
  <si>
    <t># of data points:</t>
  </si>
  <si>
    <t>IBVS 5731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</si>
  <si>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</si>
  <si>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</si>
  <si>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</si>
  <si>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</si>
  <si>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</si>
  <si>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</si>
  <si>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</si>
  <si>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</si>
  <si>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</si>
  <si>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6010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</si>
  <si>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</si>
  <si>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</si>
  <si>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</si>
  <si>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</si>
  <si>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</si>
  <si>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</si>
  <si>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</si>
  <si>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</si>
  <si>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</si>
  <si>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</si>
  <si>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</si>
  <si>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</si>
  <si>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2450651.402 </t>
  </si>
  <si>
    <t> 21.07.1997 21:38 </t>
  </si>
  <si>
    <t> -0.042 </t>
  </si>
  <si>
    <t>E </t>
  </si>
  <si>
    <t>?</t>
  </si>
  <si>
    <t> R.Diethelm </t>
  </si>
  <si>
    <t> BBS 115 </t>
  </si>
  <si>
    <t>2453622.326 </t>
  </si>
  <si>
    <t> 08.09.2005 19:49 </t>
  </si>
  <si>
    <t> -0.063 </t>
  </si>
  <si>
    <t>C </t>
  </si>
  <si>
    <t>o</t>
  </si>
  <si>
    <t> Schmidt </t>
  </si>
  <si>
    <t>BAVM 178 </t>
  </si>
  <si>
    <t>2455661.5599 </t>
  </si>
  <si>
    <t> 10.04.2011 01:26 </t>
  </si>
  <si>
    <t> -0.0571 </t>
  </si>
  <si>
    <t> U.Schmidt </t>
  </si>
  <si>
    <t>BAVM 220 </t>
  </si>
  <si>
    <t>BAD?</t>
  </si>
  <si>
    <t>BV Her / GSC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</si>
</sst>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Her - O-C Diagr.</a:t>
            </a:r>
          </a:p>
        </c:rich>
      </c:tx>
      <c:layout>
        <c:manualLayout>
          <c:xMode val="edge"/>
          <c:yMode val="edge"/>
          <c:x val="0.3849696471990080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769252958613219"/>
          <c:w val="0.8190190182693711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7193</c:v>
                </c:pt>
                <c:pt idx="2">
                  <c:v>8038</c:v>
                </c:pt>
                <c:pt idx="3">
                  <c:v>8618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C-427D-961B-4ED5AD7128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7193</c:v>
                </c:pt>
                <c:pt idx="2">
                  <c:v>8038</c:v>
                </c:pt>
                <c:pt idx="3">
                  <c:v>8618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-4.1822999992291443E-2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C-427D-961B-4ED5AD7128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7193</c:v>
                </c:pt>
                <c:pt idx="2">
                  <c:v>8038</c:v>
                </c:pt>
                <c:pt idx="3">
                  <c:v>8618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-6.2617999996291474E-2</c:v>
                </c:pt>
                <c:pt idx="3">
                  <c:v>-5.7097999997495208E-2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C-427D-961B-4ED5AD7128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7193</c:v>
                </c:pt>
                <c:pt idx="2">
                  <c:v>8038</c:v>
                </c:pt>
                <c:pt idx="3">
                  <c:v>8618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C-427D-961B-4ED5AD7128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7193</c:v>
                </c:pt>
                <c:pt idx="2">
                  <c:v>8038</c:v>
                </c:pt>
                <c:pt idx="3">
                  <c:v>8618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C-427D-961B-4ED5AD7128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7193</c:v>
                </c:pt>
                <c:pt idx="2">
                  <c:v>8038</c:v>
                </c:pt>
                <c:pt idx="3">
                  <c:v>8618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C-427D-961B-4ED5AD7128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3.0000000000000001E-3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7193</c:v>
                </c:pt>
                <c:pt idx="2">
                  <c:v>8038</c:v>
                </c:pt>
                <c:pt idx="3">
                  <c:v>8618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C-427D-961B-4ED5AD7128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7193</c:v>
                </c:pt>
                <c:pt idx="2">
                  <c:v>8038</c:v>
                </c:pt>
                <c:pt idx="3">
                  <c:v>8618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3.939379646733028E-2</c:v>
                </c:pt>
                <c:pt idx="1">
                  <c:v>-4.4971533771605524E-2</c:v>
                </c:pt>
                <c:pt idx="2">
                  <c:v>-5.4882378210907731E-2</c:v>
                </c:pt>
                <c:pt idx="3">
                  <c:v>-6.168508800356487E-2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C-427D-961B-4ED5AD7128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7193</c:v>
                </c:pt>
                <c:pt idx="2">
                  <c:v>8038</c:v>
                </c:pt>
                <c:pt idx="3">
                  <c:v>8618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5C-427D-961B-4ED5AD712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276584"/>
        <c:axId val="1"/>
      </c:scatterChart>
      <c:valAx>
        <c:axId val="684276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4019934624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276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154984461298"/>
          <c:y val="0.92000129214617399"/>
          <c:w val="0.7377305444181441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4A063B-504D-8A71-349A-BC320A827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4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75</v>
      </c>
    </row>
    <row r="2" spans="1:6">
      <c r="A2" t="s">
        <v>24</v>
      </c>
      <c r="B2" s="13" t="s">
        <v>33</v>
      </c>
    </row>
    <row r="4" spans="1:6" ht="14.25" thickTop="1" thickBot="1">
      <c r="A4" s="6" t="s">
        <v>0</v>
      </c>
      <c r="C4" s="3">
        <v>25361.495999999999</v>
      </c>
      <c r="D4" s="4">
        <v>3.515911</v>
      </c>
    </row>
    <row r="5" spans="1:6" ht="13.5" thickTop="1">
      <c r="A5" s="15" t="s">
        <v>34</v>
      </c>
      <c r="B5" s="9"/>
      <c r="C5" s="16">
        <v>-9.5</v>
      </c>
      <c r="D5" s="9" t="s">
        <v>35</v>
      </c>
    </row>
    <row r="6" spans="1:6">
      <c r="A6" s="6" t="s">
        <v>1</v>
      </c>
    </row>
    <row r="7" spans="1:6">
      <c r="A7" t="s">
        <v>2</v>
      </c>
      <c r="C7">
        <f>+C4</f>
        <v>25361.495999999999</v>
      </c>
    </row>
    <row r="8" spans="1:6">
      <c r="A8" t="s">
        <v>3</v>
      </c>
      <c r="C8">
        <f>+D4</f>
        <v>3.515911</v>
      </c>
    </row>
    <row r="9" spans="1:6">
      <c r="A9" s="29" t="s">
        <v>39</v>
      </c>
      <c r="B9" s="30">
        <v>21</v>
      </c>
      <c r="C9" s="19" t="str">
        <f>"F"&amp;B9</f>
        <v>F21</v>
      </c>
      <c r="D9" s="12" t="str">
        <f>"G"&amp;B9</f>
        <v>G21</v>
      </c>
    </row>
    <row r="10" spans="1:6" ht="13.5" thickBot="1">
      <c r="A10" s="9"/>
      <c r="B10" s="9"/>
      <c r="C10" s="5" t="s">
        <v>20</v>
      </c>
      <c r="D10" s="5" t="s">
        <v>21</v>
      </c>
      <c r="E10" s="9"/>
    </row>
    <row r="11" spans="1:6">
      <c r="A11" s="9" t="s">
        <v>16</v>
      </c>
      <c r="B11" s="9"/>
      <c r="C11" s="17">
        <f ca="1">INTERCEPT(INDIRECT($D$9):G992,INDIRECT($C$9):F992)</f>
        <v>3.939379646733028E-2</v>
      </c>
      <c r="D11" s="18"/>
      <c r="E11" s="9"/>
    </row>
    <row r="12" spans="1:6">
      <c r="A12" s="9" t="s">
        <v>17</v>
      </c>
      <c r="B12" s="9"/>
      <c r="C12" s="17">
        <f ca="1">SLOPE(INDIRECT($D$9):G992,INDIRECT($C$9):F992)</f>
        <v>-1.1728809987339887E-5</v>
      </c>
      <c r="D12" s="18"/>
      <c r="E12" s="9"/>
    </row>
    <row r="13" spans="1:6">
      <c r="A13" s="9" t="s">
        <v>19</v>
      </c>
      <c r="B13" s="9"/>
      <c r="C13" s="18" t="s">
        <v>14</v>
      </c>
    </row>
    <row r="14" spans="1:6">
      <c r="A14" s="9"/>
      <c r="B14" s="9"/>
      <c r="C14" s="9"/>
    </row>
    <row r="15" spans="1:6">
      <c r="A15" s="20" t="s">
        <v>18</v>
      </c>
      <c r="B15" s="9"/>
      <c r="C15" s="21">
        <f ca="1">(C7+C11)+(C8+C12)*INT(MAX(F21:F3533))</f>
        <v>55661.555312911994</v>
      </c>
      <c r="E15" s="22" t="s">
        <v>40</v>
      </c>
      <c r="F15" s="16">
        <v>1</v>
      </c>
    </row>
    <row r="16" spans="1:6">
      <c r="A16" s="24" t="s">
        <v>4</v>
      </c>
      <c r="B16" s="9"/>
      <c r="C16" s="25">
        <f ca="1">+C8+C12</f>
        <v>3.5158992711900128</v>
      </c>
      <c r="E16" s="22" t="s">
        <v>36</v>
      </c>
      <c r="F16" s="23">
        <f ca="1">NOW()+15018.5+$C$5/24</f>
        <v>60352.739503240737</v>
      </c>
    </row>
    <row r="17" spans="1:31" ht="13.5" thickBot="1">
      <c r="A17" s="22" t="s">
        <v>31</v>
      </c>
      <c r="B17" s="9"/>
      <c r="C17" s="9">
        <f>COUNT(C21:C2191)</f>
        <v>4</v>
      </c>
      <c r="E17" s="22" t="s">
        <v>41</v>
      </c>
      <c r="F17" s="23">
        <f ca="1">ROUND(2*(F16-$C$7)/$C$8,0)/2+F15</f>
        <v>9953.5</v>
      </c>
    </row>
    <row r="18" spans="1:31" ht="14.25" thickTop="1" thickBot="1">
      <c r="A18" s="24" t="s">
        <v>5</v>
      </c>
      <c r="B18" s="9"/>
      <c r="C18" s="27">
        <f ca="1">+C15</f>
        <v>55661.555312911994</v>
      </c>
      <c r="D18" s="28">
        <f ca="1">+C16</f>
        <v>3.5158992711900128</v>
      </c>
      <c r="E18" s="22" t="s">
        <v>37</v>
      </c>
      <c r="F18" s="12">
        <f ca="1">ROUND(2*(F16-$C$15)/$C$16,0)/2+F15</f>
        <v>1335.5</v>
      </c>
    </row>
    <row r="19" spans="1:31" ht="13.5" thickTop="1">
      <c r="E19" s="22" t="s">
        <v>38</v>
      </c>
      <c r="F19" s="26">
        <f ca="1">+$C$15+$C$16*F18-15018.5-$C$5/24</f>
        <v>45338.934622919594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51</v>
      </c>
      <c r="I20" s="8" t="s">
        <v>54</v>
      </c>
      <c r="J20" s="8" t="s">
        <v>48</v>
      </c>
      <c r="K20" s="8" t="s">
        <v>46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46" t="s">
        <v>74</v>
      </c>
    </row>
    <row r="21" spans="1:31">
      <c r="A21" t="s">
        <v>12</v>
      </c>
      <c r="C21" s="11">
        <v>25361.495999999999</v>
      </c>
      <c r="D21" s="11" t="s">
        <v>14</v>
      </c>
      <c r="E21">
        <f>+(C21-C$7)/C$8</f>
        <v>0</v>
      </c>
      <c r="F21">
        <f>ROUND(2*E21,0)/2</f>
        <v>0</v>
      </c>
      <c r="H21" s="12">
        <v>0</v>
      </c>
      <c r="O21">
        <f ca="1">+C$11+C$12*F21</f>
        <v>3.939379646733028E-2</v>
      </c>
      <c r="Q21" s="2">
        <f>+C21-15018.5</f>
        <v>10342.995999999999</v>
      </c>
    </row>
    <row r="22" spans="1:31">
      <c r="A22" t="s">
        <v>29</v>
      </c>
      <c r="C22" s="14">
        <v>50651.402000000002</v>
      </c>
      <c r="D22" s="11">
        <v>2E-3</v>
      </c>
      <c r="E22">
        <f>+(C22-C$7)/C$8</f>
        <v>7192.9881046477012</v>
      </c>
      <c r="F22">
        <f>ROUND(2*E22,0)/2</f>
        <v>7193</v>
      </c>
      <c r="G22">
        <f>+C22-(C$7+F22*C$8)</f>
        <v>-4.1822999992291443E-2</v>
      </c>
      <c r="I22">
        <f>+G22</f>
        <v>-4.1822999992291443E-2</v>
      </c>
      <c r="O22">
        <f ca="1">+C$11+C$12*F22</f>
        <v>-4.4971533771605524E-2</v>
      </c>
      <c r="Q22" s="2">
        <f>+C22-15018.5</f>
        <v>35632.902000000002</v>
      </c>
      <c r="AA22">
        <v>12</v>
      </c>
      <c r="AC22" t="s">
        <v>28</v>
      </c>
      <c r="AE22" t="s">
        <v>30</v>
      </c>
    </row>
    <row r="23" spans="1:31">
      <c r="A23" s="9" t="s">
        <v>32</v>
      </c>
      <c r="B23" s="10"/>
      <c r="C23" s="11">
        <v>53622.326000000001</v>
      </c>
      <c r="D23" s="11">
        <v>3.0000000000000001E-3</v>
      </c>
      <c r="E23">
        <f>+(C23-C$7)/C$8</f>
        <v>8037.9821901066325</v>
      </c>
      <c r="F23">
        <f>ROUND(2*E23,0)/2</f>
        <v>8038</v>
      </c>
      <c r="G23">
        <f>+C23-(C$7+F23*C$8)</f>
        <v>-6.2617999996291474E-2</v>
      </c>
      <c r="J23">
        <f>+G23</f>
        <v>-6.2617999996291474E-2</v>
      </c>
      <c r="O23">
        <f ca="1">+C$11+C$12*F23</f>
        <v>-5.4882378210907731E-2</v>
      </c>
      <c r="Q23" s="2">
        <f>+C23-15018.5</f>
        <v>38603.826000000001</v>
      </c>
    </row>
    <row r="24" spans="1:31">
      <c r="A24" s="31" t="s">
        <v>42</v>
      </c>
      <c r="B24" s="32" t="s">
        <v>43</v>
      </c>
      <c r="C24" s="31">
        <v>55661.5599</v>
      </c>
      <c r="D24" s="31">
        <v>1.2999999999999999E-3</v>
      </c>
      <c r="E24">
        <f>+(C24-C$7)/C$8</f>
        <v>8617.9837601122435</v>
      </c>
      <c r="F24">
        <f>ROUND(2*E24,0)/2</f>
        <v>8618</v>
      </c>
      <c r="G24">
        <f>+C24-(C$7+F24*C$8)</f>
        <v>-5.7097999997495208E-2</v>
      </c>
      <c r="J24">
        <f>+G24</f>
        <v>-5.7097999997495208E-2</v>
      </c>
      <c r="O24">
        <f ca="1">+C$11+C$12*F24</f>
        <v>-6.168508800356487E-2</v>
      </c>
      <c r="Q24" s="2">
        <f>+C24-15018.5</f>
        <v>40643.0599</v>
      </c>
    </row>
    <row r="25" spans="1:31">
      <c r="C25" s="11"/>
      <c r="D25" s="11"/>
      <c r="Q25" s="2"/>
    </row>
    <row r="26" spans="1:31">
      <c r="C26" s="11"/>
      <c r="D26" s="11"/>
      <c r="Q26" s="2"/>
    </row>
    <row r="27" spans="1:31">
      <c r="C27" s="11"/>
      <c r="D27" s="11"/>
      <c r="Q27" s="2"/>
    </row>
    <row r="28" spans="1:31">
      <c r="C28" s="11"/>
      <c r="D28" s="11"/>
    </row>
    <row r="29" spans="1:31">
      <c r="C29" s="11"/>
      <c r="D29" s="11"/>
    </row>
    <row r="30" spans="1:31">
      <c r="C30" s="11"/>
      <c r="D30" s="11"/>
    </row>
    <row r="31" spans="1:31">
      <c r="C31" s="11"/>
      <c r="D31" s="11"/>
    </row>
    <row r="32" spans="1:31">
      <c r="C32" s="11"/>
      <c r="D32" s="11"/>
    </row>
    <row r="33" spans="3:4">
      <c r="C33" s="11"/>
      <c r="D33" s="11"/>
    </row>
    <row r="34" spans="3:4">
      <c r="C34" s="11"/>
      <c r="D34" s="11"/>
    </row>
    <row r="35" spans="3:4">
      <c r="C35" s="11"/>
      <c r="D35" s="11"/>
    </row>
    <row r="36" spans="3:4">
      <c r="C36" s="11"/>
      <c r="D36" s="11"/>
    </row>
    <row r="37" spans="3:4">
      <c r="C37" s="11"/>
      <c r="D37" s="11"/>
    </row>
    <row r="38" spans="3:4">
      <c r="C38" s="11"/>
      <c r="D38" s="11"/>
    </row>
    <row r="39" spans="3:4">
      <c r="C39" s="11"/>
      <c r="D39" s="11"/>
    </row>
    <row r="40" spans="3:4">
      <c r="C40" s="11"/>
      <c r="D40" s="11"/>
    </row>
    <row r="41" spans="3:4">
      <c r="C41" s="11"/>
      <c r="D41" s="11"/>
    </row>
    <row r="42" spans="3:4">
      <c r="C42" s="11"/>
      <c r="D42" s="11"/>
    </row>
    <row r="43" spans="3:4">
      <c r="C43" s="11"/>
      <c r="D43" s="11"/>
    </row>
    <row r="44" spans="3:4">
      <c r="C44" s="11"/>
      <c r="D44" s="11"/>
    </row>
    <row r="45" spans="3:4">
      <c r="C45" s="11"/>
      <c r="D45" s="11"/>
    </row>
    <row r="46" spans="3:4">
      <c r="C46" s="11"/>
      <c r="D46" s="11"/>
    </row>
    <row r="47" spans="3:4">
      <c r="C47" s="11"/>
      <c r="D47" s="11"/>
    </row>
    <row r="48" spans="3:4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7"/>
  <sheetViews>
    <sheetView workbookViewId="0">
      <selection activeCell="A11" sqref="A11:IV448"/>
    </sheetView>
  </sheetViews>
  <sheetFormatPr defaultRowHeight="12.75"/>
  <cols>
    <col min="1" max="1" width="19.7109375" style="11" customWidth="1"/>
    <col min="2" max="2" width="4.42578125" style="9" customWidth="1"/>
    <col min="3" max="3" width="12.7109375" style="11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1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>
      <c r="A1" s="33" t="s">
        <v>44</v>
      </c>
      <c r="I1" s="34" t="s">
        <v>45</v>
      </c>
      <c r="J1" s="35" t="s">
        <v>46</v>
      </c>
    </row>
    <row r="2" spans="1:16">
      <c r="I2" s="36" t="s">
        <v>47</v>
      </c>
      <c r="J2" s="37" t="s">
        <v>48</v>
      </c>
    </row>
    <row r="3" spans="1:16">
      <c r="A3" s="38" t="s">
        <v>49</v>
      </c>
      <c r="I3" s="36" t="s">
        <v>50</v>
      </c>
      <c r="J3" s="37" t="s">
        <v>51</v>
      </c>
    </row>
    <row r="4" spans="1:16">
      <c r="I4" s="36" t="s">
        <v>52</v>
      </c>
      <c r="J4" s="37" t="s">
        <v>51</v>
      </c>
    </row>
    <row r="5" spans="1:16" ht="13.5" thickBot="1">
      <c r="I5" s="39" t="s">
        <v>53</v>
      </c>
      <c r="J5" s="40" t="s">
        <v>54</v>
      </c>
    </row>
    <row r="10" spans="1:16" ht="13.5" thickBot="1"/>
    <row r="11" spans="1:16" ht="12.75" customHeight="1" thickBot="1">
      <c r="A11" s="11" t="str">
        <f>P11</f>
        <v> BBS 115 </v>
      </c>
      <c r="B11" s="18" t="str">
        <f>IF(H11=INT(H11),"I","II")</f>
        <v>I</v>
      </c>
      <c r="C11" s="11">
        <f>1*G11</f>
        <v>50651.402000000002</v>
      </c>
      <c r="D11" s="9" t="str">
        <f>VLOOKUP(F11,I$1:J$5,2,FALSE)</f>
        <v>vis</v>
      </c>
      <c r="E11" s="41">
        <f>VLOOKUP(C11,Active!C$21:E$973,3,FALSE)</f>
        <v>7192.9881046477012</v>
      </c>
      <c r="F11" s="18" t="s">
        <v>53</v>
      </c>
      <c r="G11" s="9" t="str">
        <f>MID(I11,3,LEN(I11)-3)</f>
        <v>50651.402</v>
      </c>
      <c r="H11" s="11">
        <f>1*K11</f>
        <v>7193</v>
      </c>
      <c r="I11" s="42" t="s">
        <v>55</v>
      </c>
      <c r="J11" s="43" t="s">
        <v>56</v>
      </c>
      <c r="K11" s="42">
        <v>7193</v>
      </c>
      <c r="L11" s="42" t="s">
        <v>57</v>
      </c>
      <c r="M11" s="43" t="s">
        <v>58</v>
      </c>
      <c r="N11" s="43" t="s">
        <v>59</v>
      </c>
      <c r="O11" s="44" t="s">
        <v>60</v>
      </c>
      <c r="P11" s="44" t="s">
        <v>61</v>
      </c>
    </row>
    <row r="12" spans="1:16" ht="12.75" customHeight="1" thickBot="1">
      <c r="A12" s="11" t="str">
        <f>P12</f>
        <v>BAVM 178 </v>
      </c>
      <c r="B12" s="18" t="str">
        <f>IF(H12=INT(H12),"I","II")</f>
        <v>I</v>
      </c>
      <c r="C12" s="11">
        <f>1*G12</f>
        <v>53622.326000000001</v>
      </c>
      <c r="D12" s="9" t="str">
        <f>VLOOKUP(F12,I$1:J$5,2,FALSE)</f>
        <v>vis</v>
      </c>
      <c r="E12" s="41">
        <f>VLOOKUP(C12,Active!C$21:E$973,3,FALSE)</f>
        <v>8037.9821901066325</v>
      </c>
      <c r="F12" s="18" t="s">
        <v>53</v>
      </c>
      <c r="G12" s="9" t="str">
        <f>MID(I12,3,LEN(I12)-3)</f>
        <v>53622.326</v>
      </c>
      <c r="H12" s="11">
        <f>1*K12</f>
        <v>8038</v>
      </c>
      <c r="I12" s="42" t="s">
        <v>62</v>
      </c>
      <c r="J12" s="43" t="s">
        <v>63</v>
      </c>
      <c r="K12" s="42">
        <v>8038</v>
      </c>
      <c r="L12" s="42" t="s">
        <v>64</v>
      </c>
      <c r="M12" s="43" t="s">
        <v>65</v>
      </c>
      <c r="N12" s="43" t="s">
        <v>66</v>
      </c>
      <c r="O12" s="44" t="s">
        <v>67</v>
      </c>
      <c r="P12" s="45" t="s">
        <v>68</v>
      </c>
    </row>
    <row r="13" spans="1:16" ht="12.75" customHeight="1" thickBot="1">
      <c r="A13" s="11" t="str">
        <f>P13</f>
        <v>BAVM 220 </v>
      </c>
      <c r="B13" s="18" t="str">
        <f>IF(H13=INT(H13),"I","II")</f>
        <v>I</v>
      </c>
      <c r="C13" s="11">
        <f>1*G13</f>
        <v>55661.5599</v>
      </c>
      <c r="D13" s="9" t="str">
        <f>VLOOKUP(F13,I$1:J$5,2,FALSE)</f>
        <v>vis</v>
      </c>
      <c r="E13" s="41">
        <f>VLOOKUP(C13,Active!C$21:E$973,3,FALSE)</f>
        <v>8617.9837601122435</v>
      </c>
      <c r="F13" s="18" t="s">
        <v>53</v>
      </c>
      <c r="G13" s="9" t="str">
        <f>MID(I13,3,LEN(I13)-3)</f>
        <v>55661.5599</v>
      </c>
      <c r="H13" s="11">
        <f>1*K13</f>
        <v>8618</v>
      </c>
      <c r="I13" s="42" t="s">
        <v>69</v>
      </c>
      <c r="J13" s="43" t="s">
        <v>70</v>
      </c>
      <c r="K13" s="42">
        <v>8618</v>
      </c>
      <c r="L13" s="42" t="s">
        <v>71</v>
      </c>
      <c r="M13" s="43" t="s">
        <v>65</v>
      </c>
      <c r="N13" s="43" t="s">
        <v>66</v>
      </c>
      <c r="O13" s="44" t="s">
        <v>72</v>
      </c>
      <c r="P13" s="45" t="s">
        <v>73</v>
      </c>
    </row>
    <row r="14" spans="1:16">
      <c r="B14" s="18"/>
      <c r="F14" s="18"/>
    </row>
    <row r="15" spans="1:16">
      <c r="B15" s="18"/>
      <c r="F15" s="18"/>
    </row>
    <row r="16" spans="1:16">
      <c r="B16" s="18"/>
      <c r="F16" s="18"/>
    </row>
    <row r="17" spans="2:6">
      <c r="B17" s="18"/>
      <c r="F17" s="18"/>
    </row>
    <row r="18" spans="2:6">
      <c r="B18" s="18"/>
      <c r="F18" s="18"/>
    </row>
    <row r="19" spans="2:6">
      <c r="B19" s="18"/>
      <c r="F19" s="18"/>
    </row>
    <row r="20" spans="2:6">
      <c r="B20" s="18"/>
      <c r="F20" s="18"/>
    </row>
    <row r="21" spans="2:6">
      <c r="B21" s="18"/>
      <c r="F21" s="18"/>
    </row>
    <row r="22" spans="2:6">
      <c r="B22" s="18"/>
      <c r="F22" s="18"/>
    </row>
    <row r="23" spans="2:6">
      <c r="B23" s="18"/>
      <c r="F23" s="18"/>
    </row>
    <row r="24" spans="2:6">
      <c r="B24" s="18"/>
      <c r="F24" s="18"/>
    </row>
    <row r="25" spans="2:6">
      <c r="B25" s="18"/>
      <c r="F25" s="18"/>
    </row>
    <row r="26" spans="2:6">
      <c r="B26" s="18"/>
      <c r="F26" s="18"/>
    </row>
    <row r="27" spans="2:6">
      <c r="B27" s="18"/>
      <c r="F27" s="18"/>
    </row>
    <row r="28" spans="2:6">
      <c r="B28" s="18"/>
      <c r="F28" s="18"/>
    </row>
    <row r="29" spans="2:6">
      <c r="B29" s="18"/>
      <c r="F29" s="18"/>
    </row>
    <row r="30" spans="2:6">
      <c r="B30" s="18"/>
      <c r="F30" s="18"/>
    </row>
    <row r="31" spans="2:6">
      <c r="B31" s="18"/>
      <c r="F31" s="18"/>
    </row>
    <row r="32" spans="2:6">
      <c r="B32" s="18"/>
      <c r="F32" s="18"/>
    </row>
    <row r="33" spans="2:6">
      <c r="B33" s="18"/>
      <c r="F33" s="18"/>
    </row>
    <row r="34" spans="2:6">
      <c r="B34" s="18"/>
      <c r="F34" s="18"/>
    </row>
    <row r="35" spans="2:6">
      <c r="B35" s="18"/>
      <c r="F35" s="18"/>
    </row>
    <row r="36" spans="2:6">
      <c r="B36" s="18"/>
      <c r="F36" s="18"/>
    </row>
    <row r="37" spans="2:6">
      <c r="B37" s="18"/>
      <c r="F37" s="18"/>
    </row>
    <row r="38" spans="2:6">
      <c r="B38" s="18"/>
      <c r="F38" s="18"/>
    </row>
    <row r="39" spans="2:6">
      <c r="B39" s="18"/>
      <c r="F39" s="18"/>
    </row>
    <row r="40" spans="2:6">
      <c r="B40" s="18"/>
      <c r="F40" s="18"/>
    </row>
    <row r="41" spans="2:6">
      <c r="B41" s="18"/>
      <c r="F41" s="18"/>
    </row>
    <row r="42" spans="2:6">
      <c r="B42" s="18"/>
      <c r="F42" s="18"/>
    </row>
    <row r="43" spans="2:6">
      <c r="B43" s="18"/>
      <c r="F43" s="18"/>
    </row>
    <row r="44" spans="2:6">
      <c r="B44" s="18"/>
      <c r="F44" s="18"/>
    </row>
    <row r="45" spans="2:6">
      <c r="B45" s="18"/>
      <c r="F45" s="18"/>
    </row>
    <row r="46" spans="2:6">
      <c r="B46" s="18"/>
      <c r="F46" s="18"/>
    </row>
    <row r="47" spans="2:6">
      <c r="B47" s="18"/>
      <c r="F47" s="18"/>
    </row>
    <row r="48" spans="2:6">
      <c r="B48" s="18"/>
      <c r="F48" s="18"/>
    </row>
    <row r="49" spans="2:6">
      <c r="B49" s="18"/>
      <c r="F49" s="18"/>
    </row>
    <row r="50" spans="2:6">
      <c r="B50" s="18"/>
      <c r="F50" s="18"/>
    </row>
    <row r="51" spans="2:6">
      <c r="B51" s="18"/>
      <c r="F51" s="18"/>
    </row>
    <row r="52" spans="2:6">
      <c r="B52" s="18"/>
      <c r="F52" s="18"/>
    </row>
    <row r="53" spans="2:6">
      <c r="B53" s="18"/>
      <c r="F53" s="18"/>
    </row>
    <row r="54" spans="2:6">
      <c r="B54" s="18"/>
      <c r="F54" s="18"/>
    </row>
    <row r="55" spans="2:6">
      <c r="B55" s="18"/>
      <c r="F55" s="18"/>
    </row>
    <row r="56" spans="2:6">
      <c r="B56" s="18"/>
      <c r="F56" s="18"/>
    </row>
    <row r="57" spans="2:6">
      <c r="B57" s="18"/>
      <c r="F57" s="18"/>
    </row>
    <row r="58" spans="2:6">
      <c r="B58" s="18"/>
      <c r="F58" s="18"/>
    </row>
    <row r="59" spans="2:6">
      <c r="B59" s="18"/>
      <c r="F59" s="18"/>
    </row>
    <row r="60" spans="2:6">
      <c r="B60" s="18"/>
      <c r="F60" s="18"/>
    </row>
    <row r="61" spans="2:6">
      <c r="B61" s="18"/>
      <c r="F61" s="18"/>
    </row>
    <row r="62" spans="2:6">
      <c r="B62" s="18"/>
      <c r="F62" s="18"/>
    </row>
    <row r="63" spans="2:6">
      <c r="B63" s="18"/>
      <c r="F63" s="18"/>
    </row>
    <row r="64" spans="2:6">
      <c r="B64" s="18"/>
      <c r="F64" s="18"/>
    </row>
    <row r="65" spans="2:6">
      <c r="B65" s="18"/>
      <c r="F65" s="18"/>
    </row>
    <row r="66" spans="2:6">
      <c r="B66" s="18"/>
      <c r="F66" s="18"/>
    </row>
    <row r="67" spans="2:6">
      <c r="B67" s="18"/>
      <c r="F67" s="18"/>
    </row>
    <row r="68" spans="2:6">
      <c r="B68" s="18"/>
      <c r="F68" s="18"/>
    </row>
    <row r="69" spans="2:6">
      <c r="B69" s="18"/>
      <c r="F69" s="18"/>
    </row>
    <row r="70" spans="2:6">
      <c r="B70" s="18"/>
      <c r="F70" s="18"/>
    </row>
    <row r="71" spans="2:6">
      <c r="B71" s="18"/>
      <c r="F71" s="18"/>
    </row>
    <row r="72" spans="2:6">
      <c r="B72" s="18"/>
      <c r="F72" s="18"/>
    </row>
    <row r="73" spans="2:6">
      <c r="B73" s="18"/>
      <c r="F73" s="18"/>
    </row>
    <row r="74" spans="2:6">
      <c r="B74" s="18"/>
      <c r="F74" s="18"/>
    </row>
    <row r="75" spans="2:6">
      <c r="B75" s="18"/>
      <c r="F75" s="18"/>
    </row>
    <row r="76" spans="2:6">
      <c r="B76" s="18"/>
      <c r="F76" s="18"/>
    </row>
    <row r="77" spans="2:6">
      <c r="B77" s="18"/>
      <c r="F77" s="18"/>
    </row>
    <row r="78" spans="2:6">
      <c r="B78" s="18"/>
      <c r="F78" s="18"/>
    </row>
    <row r="79" spans="2:6">
      <c r="B79" s="18"/>
      <c r="F79" s="18"/>
    </row>
    <row r="80" spans="2:6">
      <c r="B80" s="18"/>
      <c r="F80" s="18"/>
    </row>
    <row r="81" spans="2:6">
      <c r="B81" s="18"/>
      <c r="F81" s="18"/>
    </row>
    <row r="82" spans="2:6">
      <c r="B82" s="18"/>
      <c r="F82" s="18"/>
    </row>
    <row r="83" spans="2:6">
      <c r="B83" s="18"/>
      <c r="F83" s="18"/>
    </row>
    <row r="84" spans="2:6">
      <c r="B84" s="18"/>
      <c r="F84" s="18"/>
    </row>
    <row r="85" spans="2:6">
      <c r="B85" s="18"/>
      <c r="F85" s="18"/>
    </row>
    <row r="86" spans="2:6">
      <c r="B86" s="18"/>
      <c r="F86" s="18"/>
    </row>
    <row r="87" spans="2:6">
      <c r="B87" s="18"/>
      <c r="F87" s="18"/>
    </row>
    <row r="88" spans="2:6">
      <c r="B88" s="18"/>
      <c r="F88" s="18"/>
    </row>
    <row r="89" spans="2:6">
      <c r="B89" s="18"/>
      <c r="F89" s="18"/>
    </row>
    <row r="90" spans="2:6">
      <c r="B90" s="18"/>
      <c r="F90" s="18"/>
    </row>
    <row r="91" spans="2:6">
      <c r="B91" s="18"/>
      <c r="F91" s="18"/>
    </row>
    <row r="92" spans="2:6">
      <c r="B92" s="18"/>
      <c r="F92" s="18"/>
    </row>
    <row r="93" spans="2:6">
      <c r="B93" s="18"/>
      <c r="F93" s="18"/>
    </row>
    <row r="94" spans="2:6">
      <c r="B94" s="18"/>
      <c r="F94" s="18"/>
    </row>
    <row r="95" spans="2:6">
      <c r="B95" s="18"/>
      <c r="F95" s="18"/>
    </row>
    <row r="96" spans="2: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  <row r="760" spans="2:6">
      <c r="B760" s="18"/>
      <c r="F760" s="18"/>
    </row>
    <row r="761" spans="2:6">
      <c r="B761" s="18"/>
      <c r="F761" s="18"/>
    </row>
    <row r="762" spans="2:6">
      <c r="B762" s="18"/>
      <c r="F762" s="18"/>
    </row>
    <row r="763" spans="2:6">
      <c r="B763" s="18"/>
      <c r="F763" s="18"/>
    </row>
    <row r="764" spans="2:6">
      <c r="B764" s="18"/>
      <c r="F764" s="18"/>
    </row>
    <row r="765" spans="2:6">
      <c r="B765" s="18"/>
      <c r="F765" s="18"/>
    </row>
    <row r="766" spans="2:6">
      <c r="B766" s="18"/>
      <c r="F766" s="18"/>
    </row>
    <row r="767" spans="2:6">
      <c r="B767" s="18"/>
      <c r="F767" s="18"/>
    </row>
    <row r="768" spans="2:6">
      <c r="B768" s="18"/>
      <c r="F768" s="18"/>
    </row>
    <row r="769" spans="2:6">
      <c r="B769" s="18"/>
      <c r="F769" s="18"/>
    </row>
    <row r="770" spans="2:6">
      <c r="B770" s="18"/>
      <c r="F770" s="18"/>
    </row>
    <row r="771" spans="2:6">
      <c r="B771" s="18"/>
      <c r="F771" s="18"/>
    </row>
    <row r="772" spans="2:6">
      <c r="B772" s="18"/>
      <c r="F772" s="18"/>
    </row>
    <row r="773" spans="2:6">
      <c r="B773" s="18"/>
      <c r="F773" s="18"/>
    </row>
    <row r="774" spans="2:6">
      <c r="B774" s="18"/>
      <c r="F774" s="18"/>
    </row>
    <row r="775" spans="2:6">
      <c r="B775" s="18"/>
      <c r="F775" s="18"/>
    </row>
    <row r="776" spans="2:6">
      <c r="B776" s="18"/>
      <c r="F776" s="18"/>
    </row>
    <row r="777" spans="2:6">
      <c r="B777" s="18"/>
      <c r="F777" s="18"/>
    </row>
    <row r="778" spans="2:6">
      <c r="B778" s="18"/>
      <c r="F778" s="18"/>
    </row>
    <row r="779" spans="2:6">
      <c r="B779" s="18"/>
      <c r="F779" s="18"/>
    </row>
    <row r="780" spans="2:6">
      <c r="B780" s="18"/>
      <c r="F780" s="18"/>
    </row>
    <row r="781" spans="2:6">
      <c r="B781" s="18"/>
      <c r="F781" s="18"/>
    </row>
    <row r="782" spans="2:6">
      <c r="B782" s="18"/>
      <c r="F782" s="18"/>
    </row>
    <row r="783" spans="2:6">
      <c r="B783" s="18"/>
      <c r="F783" s="18"/>
    </row>
    <row r="784" spans="2:6">
      <c r="B784" s="18"/>
      <c r="F784" s="18"/>
    </row>
    <row r="785" spans="2:6">
      <c r="B785" s="18"/>
      <c r="F785" s="18"/>
    </row>
    <row r="786" spans="2:6">
      <c r="B786" s="18"/>
      <c r="F786" s="18"/>
    </row>
    <row r="787" spans="2:6">
      <c r="B787" s="18"/>
      <c r="F787" s="18"/>
    </row>
  </sheetData>
  <phoneticPr fontId="7" type="noConversion"/>
  <hyperlinks>
    <hyperlink ref="P12" r:id="rId1" display="http://www.bav-astro.de/sfs/BAVM_link.php?BAVMnr=178"/>
    <hyperlink ref="P13" r:id="rId2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2024-02-12T04:44:53Z</dcterms:modified>
</cp:coreProperties>
</file>