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464BBB1-A94D-4B0D-B70A-5376BA7A9F0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Q25" i="1"/>
  <c r="Q26" i="1"/>
  <c r="Q27" i="1"/>
  <c r="G16" i="2"/>
  <c r="C16" i="2"/>
  <c r="G15" i="2"/>
  <c r="C15" i="2"/>
  <c r="G14" i="2"/>
  <c r="C14" i="2"/>
  <c r="G19" i="2"/>
  <c r="C19" i="2"/>
  <c r="G18" i="2"/>
  <c r="C18" i="2"/>
  <c r="G17" i="2"/>
  <c r="C17" i="2"/>
  <c r="G13" i="2"/>
  <c r="C13" i="2"/>
  <c r="G12" i="2"/>
  <c r="C12" i="2"/>
  <c r="G11" i="2"/>
  <c r="C11" i="2"/>
  <c r="H16" i="2"/>
  <c r="B16" i="2"/>
  <c r="D16" i="2"/>
  <c r="A16" i="2"/>
  <c r="H15" i="2"/>
  <c r="B15" i="2"/>
  <c r="D15" i="2"/>
  <c r="A15" i="2"/>
  <c r="H14" i="2"/>
  <c r="B14" i="2"/>
  <c r="D14" i="2"/>
  <c r="A14" i="2"/>
  <c r="H19" i="2"/>
  <c r="B19" i="2"/>
  <c r="D19" i="2"/>
  <c r="A19" i="2"/>
  <c r="H18" i="2"/>
  <c r="B18" i="2"/>
  <c r="D18" i="2"/>
  <c r="A18" i="2"/>
  <c r="H17" i="2"/>
  <c r="B17" i="2"/>
  <c r="D17" i="2"/>
  <c r="A17" i="2"/>
  <c r="H13" i="2"/>
  <c r="B13" i="2"/>
  <c r="D13" i="2"/>
  <c r="A13" i="2"/>
  <c r="H12" i="2"/>
  <c r="B12" i="2"/>
  <c r="D12" i="2"/>
  <c r="A12" i="2"/>
  <c r="H11" i="2"/>
  <c r="B11" i="2"/>
  <c r="D11" i="2"/>
  <c r="A11" i="2"/>
  <c r="Q30" i="1"/>
  <c r="F11" i="1"/>
  <c r="E14" i="1"/>
  <c r="E15" i="1" s="1"/>
  <c r="Q29" i="1"/>
  <c r="G11" i="1"/>
  <c r="C17" i="1"/>
  <c r="Q28" i="1"/>
  <c r="Q22" i="1"/>
  <c r="Q23" i="1"/>
  <c r="Q24" i="1"/>
  <c r="C8" i="1"/>
  <c r="C7" i="1"/>
  <c r="E25" i="1"/>
  <c r="F25" i="1"/>
  <c r="Q21" i="1"/>
  <c r="E11" i="2"/>
  <c r="E17" i="2"/>
  <c r="E27" i="1"/>
  <c r="F27" i="1"/>
  <c r="E29" i="1"/>
  <c r="F29" i="1"/>
  <c r="E23" i="1"/>
  <c r="F23" i="1"/>
  <c r="G23" i="1"/>
  <c r="I23" i="1"/>
  <c r="G22" i="1"/>
  <c r="E26" i="1"/>
  <c r="F26" i="1"/>
  <c r="G26" i="1"/>
  <c r="K26" i="1"/>
  <c r="E28" i="1"/>
  <c r="F28" i="1"/>
  <c r="G28" i="1"/>
  <c r="J28" i="1"/>
  <c r="E22" i="1"/>
  <c r="F22" i="1"/>
  <c r="G25" i="1"/>
  <c r="K25" i="1"/>
  <c r="E30" i="1"/>
  <c r="F30" i="1"/>
  <c r="G30" i="1"/>
  <c r="J30" i="1"/>
  <c r="G27" i="1"/>
  <c r="K27" i="1"/>
  <c r="G29" i="1"/>
  <c r="J29" i="1"/>
  <c r="E24" i="1"/>
  <c r="F24" i="1"/>
  <c r="G24" i="1"/>
  <c r="I24" i="1"/>
  <c r="E16" i="2"/>
  <c r="E13" i="2"/>
  <c r="I22" i="1"/>
  <c r="E15" i="2"/>
  <c r="E14" i="2"/>
  <c r="E12" i="2"/>
  <c r="E18" i="2"/>
  <c r="E19" i="2"/>
  <c r="C11" i="1"/>
  <c r="C12" i="1"/>
  <c r="C16" i="1" l="1"/>
  <c r="D18" i="1" s="1"/>
  <c r="O25" i="1"/>
  <c r="O24" i="1"/>
  <c r="O21" i="1"/>
  <c r="O22" i="1"/>
  <c r="O30" i="1"/>
  <c r="O23" i="1"/>
  <c r="O27" i="1"/>
  <c r="O28" i="1"/>
  <c r="C15" i="1"/>
  <c r="O29" i="1"/>
  <c r="O26" i="1"/>
  <c r="C18" i="1" l="1"/>
  <c r="E16" i="1"/>
  <c r="E17" i="1" s="1"/>
</calcChain>
</file>

<file path=xl/sharedStrings.xml><?xml version="1.0" encoding="utf-8"?>
<sst xmlns="http://schemas.openxmlformats.org/spreadsheetml/2006/main" count="153" uniqueCount="108">
  <si>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</si>
  <si>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</si>
  <si>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</si>
  <si>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</si>
  <si>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</si>
  <si>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</si>
  <si>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</si>
  <si>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</si>
  <si>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</si>
  <si>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</si>
  <si>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</si>
  <si>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</si>
  <si>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</si>
  <si>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</si>
  <si>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</si>
  <si>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</si>
  <si>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</si>
  <si>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</si>
  <si>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</si>
  <si>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</si>
  <si>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</si>
  <si>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</si>
  <si>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</si>
  <si>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</si>
  <si>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</si>
  <si>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</si>
  <si>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</si>
  <si>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</si>
  <si>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</si>
  <si>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</si>
  <si>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IBVS 5713</t>
  </si>
  <si>
    <t>I</t>
  </si>
  <si>
    <t>IBVS 4887</t>
  </si>
  <si>
    <t>EA/SD</t>
  </si>
  <si>
    <t>IBVS 5920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</si>
  <si>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</si>
  <si>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</si>
  <si>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</si>
  <si>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</si>
  <si>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</si>
  <si>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</si>
  <si>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</si>
  <si>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0160</t>
  </si>
  <si>
    <t>Add cycle</t>
  </si>
  <si>
    <t>Old Cycle</t>
  </si>
  <si>
    <t>BS Lac / GSC 3211-0102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</si>
  <si>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</si>
  <si>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</si>
  <si>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</si>
  <si>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</si>
  <si>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</si>
  <si>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</si>
  <si>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</si>
  <si>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</si>
  <si>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</si>
  <si>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</si>
  <si>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</si>
  <si>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</si>
  <si>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2450671.5431 </t>
  </si>
  <si>
    <t> 11.08.1997 01:02 </t>
  </si>
  <si>
    <t> -0.2081 </t>
  </si>
  <si>
    <t>E </t>
  </si>
  <si>
    <t>?</t>
  </si>
  <si>
    <t> J.Safar </t>
  </si>
  <si>
    <t>IBVS 4887 </t>
  </si>
  <si>
    <t>2450688.4270 </t>
  </si>
  <si>
    <t> 27.08.1997 22:14 </t>
  </si>
  <si>
    <t> -0.2094 </t>
  </si>
  <si>
    <t> Zejda&amp;Safar </t>
  </si>
  <si>
    <t>2453674.297 </t>
  </si>
  <si>
    <t> 30.10.2005 19:07 </t>
  </si>
  <si>
    <t> -0.206 </t>
  </si>
  <si>
    <t> R. Diethelm </t>
  </si>
  <si>
    <t>IBVS 5713 </t>
  </si>
  <si>
    <t>2455050.4697 </t>
  </si>
  <si>
    <t> 06.08.2009 23:16 </t>
  </si>
  <si>
    <t> -0.1767 </t>
  </si>
  <si>
    <t>C </t>
  </si>
  <si>
    <t>-I</t>
  </si>
  <si>
    <t> F.Agerer </t>
  </si>
  <si>
    <t>BAVM 212 </t>
  </si>
  <si>
    <t>2455050.4704 </t>
  </si>
  <si>
    <t> 06.08.2009 23:17 </t>
  </si>
  <si>
    <t>6092</t>
  </si>
  <si>
    <t> -0.1760 </t>
  </si>
  <si>
    <t>o</t>
  </si>
  <si>
    <t> Moschner &amp; Frank </t>
  </si>
  <si>
    <t>2455095.4978 </t>
  </si>
  <si>
    <t> 20.09.2009 23:56 </t>
  </si>
  <si>
    <t>6108</t>
  </si>
  <si>
    <t> -0.1758 </t>
  </si>
  <si>
    <t>2455106.757 </t>
  </si>
  <si>
    <t> 02.10.2009 06:10 </t>
  </si>
  <si>
    <t>6112</t>
  </si>
  <si>
    <t> -0.173 </t>
  </si>
  <si>
    <t> R.Diethelm </t>
  </si>
  <si>
    <t>IBVS 5920 </t>
  </si>
  <si>
    <t>2455793.42606 </t>
  </si>
  <si>
    <t> 19.08.2011 22:13 </t>
  </si>
  <si>
    <t>6356</t>
  </si>
  <si>
    <t> -0.16914 </t>
  </si>
  <si>
    <t> J.Trnka </t>
  </si>
  <si>
    <t>OEJV 0160 </t>
  </si>
  <si>
    <t>2456505.4302 </t>
  </si>
  <si>
    <t> 31.07.2013 22:19 </t>
  </si>
  <si>
    <t>6609</t>
  </si>
  <si>
    <t> -0.1576 </t>
  </si>
  <si>
    <t>BAVM 234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</si>
</sst>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Lac - O-C Diagr.</a:t>
            </a:r>
          </a:p>
        </c:rich>
      </c:tx>
      <c:layout>
        <c:manualLayout>
          <c:xMode val="edge"/>
          <c:yMode val="edge"/>
          <c:x val="0.385886516437697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678942920199375"/>
          <c:w val="0.824325533041146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C4-42C7-855A-1B46D6BEE0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-0.20809999999619322</c:v>
                </c:pt>
                <c:pt idx="2">
                  <c:v>-0.20939999999973224</c:v>
                </c:pt>
                <c:pt idx="3">
                  <c:v>-0.20560000000114087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C4-42C7-855A-1B46D6BEE0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-0.17339999999967404</c:v>
                </c:pt>
                <c:pt idx="8">
                  <c:v>-0.16913999999815132</c:v>
                </c:pt>
                <c:pt idx="9">
                  <c:v>-0.15759999999863794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C4-42C7-855A-1B46D6BEE0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-0.17669999999634456</c:v>
                </c:pt>
                <c:pt idx="5">
                  <c:v>-0.17599999999947613</c:v>
                </c:pt>
                <c:pt idx="6">
                  <c:v>-0.17580000000452856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C4-42C7-855A-1B46D6BEE0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C4-42C7-855A-1B46D6BEE0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C4-42C7-855A-1B46D6BEE0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C4-42C7-855A-1B46D6BEE0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-0.31931188786297754</c:v>
                </c:pt>
                <c:pt idx="1">
                  <c:v>-0.21281244751435197</c:v>
                </c:pt>
                <c:pt idx="2">
                  <c:v>-0.21267157523875854</c:v>
                </c:pt>
                <c:pt idx="3">
                  <c:v>-0.18776066117132209</c:v>
                </c:pt>
                <c:pt idx="4">
                  <c:v>-0.17627957071045836</c:v>
                </c:pt>
                <c:pt idx="5">
                  <c:v>-0.17627957071045836</c:v>
                </c:pt>
                <c:pt idx="6">
                  <c:v>-0.17590391130887592</c:v>
                </c:pt>
                <c:pt idx="7">
                  <c:v>-0.17580999645848031</c:v>
                </c:pt>
                <c:pt idx="8">
                  <c:v>-0.17008119058434787</c:v>
                </c:pt>
                <c:pt idx="9">
                  <c:v>-0.16414107629682534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C4-42C7-855A-1B46D6BEE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018624"/>
        <c:axId val="1"/>
      </c:scatterChart>
      <c:valAx>
        <c:axId val="661018624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018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73004500563554"/>
          <c:y val="0.9204921861831491"/>
          <c:w val="0.6726736185003900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Lac - O-C Diagr.</a:t>
            </a:r>
          </a:p>
        </c:rich>
      </c:tx>
      <c:layout>
        <c:manualLayout>
          <c:xMode val="edge"/>
          <c:yMode val="edge"/>
          <c:x val="0.377419354838709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145161290322581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79-4010-A9C8-AD9CCF0227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-0.20809999999619322</c:v>
                </c:pt>
                <c:pt idx="2">
                  <c:v>-0.20939999999973224</c:v>
                </c:pt>
                <c:pt idx="3">
                  <c:v>-0.20560000000114087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79-4010-A9C8-AD9CCF0227A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-0.17339999999967404</c:v>
                </c:pt>
                <c:pt idx="8">
                  <c:v>-0.16913999999815132</c:v>
                </c:pt>
                <c:pt idx="9">
                  <c:v>-0.15759999999863794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79-4010-A9C8-AD9CCF0227A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-0.17669999999634456</c:v>
                </c:pt>
                <c:pt idx="5">
                  <c:v>-0.17599999999947613</c:v>
                </c:pt>
                <c:pt idx="6">
                  <c:v>-0.17580000000452856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79-4010-A9C8-AD9CCF0227A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79-4010-A9C8-AD9CCF0227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79-4010-A9C8-AD9CCF0227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4.7999999999999996E-3</c:v>
                  </c:pt>
                  <c:pt idx="3">
                    <c:v>8.0000000000000002E-3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79-4010-A9C8-AD9CCF0227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4536</c:v>
                </c:pt>
                <c:pt idx="2">
                  <c:v>4542</c:v>
                </c:pt>
                <c:pt idx="3">
                  <c:v>5603</c:v>
                </c:pt>
                <c:pt idx="4">
                  <c:v>6092</c:v>
                </c:pt>
                <c:pt idx="5">
                  <c:v>6092</c:v>
                </c:pt>
                <c:pt idx="6">
                  <c:v>6108</c:v>
                </c:pt>
                <c:pt idx="7">
                  <c:v>6112</c:v>
                </c:pt>
                <c:pt idx="8">
                  <c:v>6356</c:v>
                </c:pt>
                <c:pt idx="9">
                  <c:v>6609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-0.31931188786297754</c:v>
                </c:pt>
                <c:pt idx="1">
                  <c:v>-0.21281244751435197</c:v>
                </c:pt>
                <c:pt idx="2">
                  <c:v>-0.21267157523875854</c:v>
                </c:pt>
                <c:pt idx="3">
                  <c:v>-0.18776066117132209</c:v>
                </c:pt>
                <c:pt idx="4">
                  <c:v>-0.17627957071045836</c:v>
                </c:pt>
                <c:pt idx="5">
                  <c:v>-0.17627957071045836</c:v>
                </c:pt>
                <c:pt idx="6">
                  <c:v>-0.17590391130887592</c:v>
                </c:pt>
                <c:pt idx="7">
                  <c:v>-0.17580999645848031</c:v>
                </c:pt>
                <c:pt idx="8">
                  <c:v>-0.17008119058434787</c:v>
                </c:pt>
                <c:pt idx="9">
                  <c:v>-0.16414107629682534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79-4010-A9C8-AD9CCF022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045984"/>
        <c:axId val="1"/>
      </c:scatterChart>
      <c:valAx>
        <c:axId val="528045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064516129031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045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45161290322581"/>
          <c:y val="0.92073298764483702"/>
          <c:w val="0.722580645161290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19051</xdr:rowOff>
    </xdr:from>
    <xdr:to>
      <xdr:col>17</xdr:col>
      <xdr:colOff>295275</xdr:colOff>
      <xdr:row>18</xdr:row>
      <xdr:rowOff>47626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E3151A0-A7EB-9B49-E4FC-EE7BB366D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381000</xdr:colOff>
      <xdr:row>0</xdr:row>
      <xdr:rowOff>0</xdr:rowOff>
    </xdr:from>
    <xdr:to>
      <xdr:col>27</xdr:col>
      <xdr:colOff>438150</xdr:colOff>
      <xdr:row>18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14BF80B-F78D-605F-024D-C4D9B13DF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713" TargetMode="External"/><Relationship Id="rId7" Type="http://schemas.openxmlformats.org/officeDocument/2006/relationships/hyperlink" Target="http://www.konkoly.hu/cgi-bin/IBVS?5920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bav-astro.de/sfs/BAVM_link.php?BAVMnr=212" TargetMode="External"/><Relationship Id="rId9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24</v>
      </c>
      <c r="B2" t="s">
        <v>33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37906.54</v>
      </c>
      <c r="D4" s="9">
        <v>2.8142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37906.54</v>
      </c>
    </row>
    <row r="8" spans="1:7" x14ac:dyDescent="0.2">
      <c r="A8" t="s">
        <v>3</v>
      </c>
      <c r="C8">
        <f>+D4</f>
        <v>2.8142</v>
      </c>
    </row>
    <row r="9" spans="1:7" x14ac:dyDescent="0.2">
      <c r="A9" s="14" t="s">
        <v>35</v>
      </c>
      <c r="B9" s="15"/>
      <c r="C9" s="16">
        <v>-9.5</v>
      </c>
      <c r="D9" s="15" t="s">
        <v>36</v>
      </c>
      <c r="E9" s="15"/>
    </row>
    <row r="10" spans="1:7" ht="13.5" thickBot="1" x14ac:dyDescent="0.25">
      <c r="A10" s="15"/>
      <c r="B10" s="15"/>
      <c r="C10" s="4" t="s">
        <v>20</v>
      </c>
      <c r="D10" s="4" t="s">
        <v>21</v>
      </c>
      <c r="E10" s="15"/>
    </row>
    <row r="11" spans="1:7" x14ac:dyDescent="0.2">
      <c r="A11" s="15" t="s">
        <v>16</v>
      </c>
      <c r="B11" s="15"/>
      <c r="C11" s="17">
        <f ca="1">INTERCEPT(INDIRECT($G$11):G992,INDIRECT($F$11):F992)</f>
        <v>-0.31931188786297754</v>
      </c>
      <c r="D11" s="3"/>
      <c r="E11" s="15"/>
      <c r="F11" s="18" t="str">
        <f>"F"&amp;E19</f>
        <v>F21</v>
      </c>
      <c r="G11" s="19" t="str">
        <f>"G"&amp;E19</f>
        <v>G21</v>
      </c>
    </row>
    <row r="12" spans="1:7" x14ac:dyDescent="0.2">
      <c r="A12" s="15" t="s">
        <v>17</v>
      </c>
      <c r="B12" s="15"/>
      <c r="C12" s="17">
        <f ca="1">SLOPE(INDIRECT($G$11):G992,INDIRECT($F$11):F992)</f>
        <v>2.3478712598903345E-5</v>
      </c>
      <c r="D12" s="3"/>
      <c r="E12" s="15"/>
    </row>
    <row r="13" spans="1:7" x14ac:dyDescent="0.2">
      <c r="A13" s="15" t="s">
        <v>19</v>
      </c>
      <c r="B13" s="15"/>
      <c r="C13" s="3" t="s">
        <v>14</v>
      </c>
      <c r="D13" s="22" t="s">
        <v>43</v>
      </c>
      <c r="E13" s="16">
        <v>1</v>
      </c>
    </row>
    <row r="14" spans="1:7" x14ac:dyDescent="0.2">
      <c r="A14" s="15"/>
      <c r="B14" s="15"/>
      <c r="C14" s="15"/>
      <c r="D14" s="22" t="s">
        <v>37</v>
      </c>
      <c r="E14" s="23">
        <f ca="1">NOW()+15018.5+$C$9/24</f>
        <v>60356.737208449071</v>
      </c>
    </row>
    <row r="15" spans="1:7" x14ac:dyDescent="0.2">
      <c r="A15" s="20" t="s">
        <v>18</v>
      </c>
      <c r="B15" s="15"/>
      <c r="C15" s="21">
        <f ca="1">(C7+C11)+(C8+C12)*INT(MAX(F21:F3533))</f>
        <v>56505.423658923704</v>
      </c>
      <c r="D15" s="22" t="s">
        <v>44</v>
      </c>
      <c r="E15" s="23">
        <f ca="1">ROUND(2*(E14-$C$7)/$C$8,0)/2+E13</f>
        <v>7978.5</v>
      </c>
    </row>
    <row r="16" spans="1:7" x14ac:dyDescent="0.2">
      <c r="A16" s="24" t="s">
        <v>4</v>
      </c>
      <c r="B16" s="15"/>
      <c r="C16" s="25">
        <f ca="1">+C8+C12</f>
        <v>2.814223478712599</v>
      </c>
      <c r="D16" s="22" t="s">
        <v>38</v>
      </c>
      <c r="E16" s="19">
        <f ca="1">ROUND(2*(E14-$C$15)/$C$16,0)/2+E13</f>
        <v>1369.5</v>
      </c>
    </row>
    <row r="17" spans="1:17" ht="13.5" thickBot="1" x14ac:dyDescent="0.25">
      <c r="A17" s="22" t="s">
        <v>29</v>
      </c>
      <c r="B17" s="15"/>
      <c r="C17" s="15">
        <f>COUNT(C21:C2191)</f>
        <v>10</v>
      </c>
      <c r="D17" s="22" t="s">
        <v>39</v>
      </c>
      <c r="E17" s="26">
        <f ca="1">+$C$15+$C$16*E16-15018.5-$C$9/24</f>
        <v>45341.398546353943</v>
      </c>
    </row>
    <row r="18" spans="1:17" ht="14.25" thickTop="1" thickBot="1" x14ac:dyDescent="0.25">
      <c r="A18" s="24" t="s">
        <v>5</v>
      </c>
      <c r="B18" s="15"/>
      <c r="C18" s="27">
        <f ca="1">+C15</f>
        <v>56505.423658923704</v>
      </c>
      <c r="D18" s="28">
        <f ca="1">+C16</f>
        <v>2.814223478712599</v>
      </c>
      <c r="E18" s="29" t="s">
        <v>40</v>
      </c>
    </row>
    <row r="19" spans="1:17" ht="13.5" thickTop="1" x14ac:dyDescent="0.2">
      <c r="A19" s="30" t="s">
        <v>41</v>
      </c>
      <c r="E19" s="31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28</v>
      </c>
      <c r="J20" s="7" t="s">
        <v>49</v>
      </c>
      <c r="K20" s="7" t="s">
        <v>57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37906.54</v>
      </c>
      <c r="D21" s="10" t="s">
        <v>14</v>
      </c>
      <c r="E21">
        <f t="shared" ref="E21:E30" si="0">+(C21-C$7)/C$8</f>
        <v>0</v>
      </c>
      <c r="F21">
        <f t="shared" ref="F21:F30" si="1">ROUND(2*E21,0)/2</f>
        <v>0</v>
      </c>
      <c r="H21">
        <v>0</v>
      </c>
      <c r="O21">
        <f t="shared" ref="O21:O30" ca="1" si="2">+C$11+C$12*$F21</f>
        <v>-0.31931188786297754</v>
      </c>
      <c r="Q21" s="2">
        <f t="shared" ref="Q21:Q30" si="3">+C21-15018.5</f>
        <v>22888.04</v>
      </c>
    </row>
    <row r="22" spans="1:17" x14ac:dyDescent="0.2">
      <c r="A22" s="10" t="s">
        <v>32</v>
      </c>
      <c r="B22" s="3"/>
      <c r="C22" s="10">
        <v>50671.543100000003</v>
      </c>
      <c r="D22" s="10">
        <v>4.1999999999999997E-3</v>
      </c>
      <c r="E22">
        <f t="shared" si="0"/>
        <v>4535.9260535853891</v>
      </c>
      <c r="F22">
        <f t="shared" si="1"/>
        <v>4536</v>
      </c>
      <c r="G22">
        <f t="shared" ref="G22:G30" si="4">+C22-(C$7+F22*C$8)</f>
        <v>-0.20809999999619322</v>
      </c>
      <c r="I22">
        <f>+G22</f>
        <v>-0.20809999999619322</v>
      </c>
      <c r="O22">
        <f t="shared" ca="1" si="2"/>
        <v>-0.21281244751435197</v>
      </c>
      <c r="Q22" s="2">
        <f t="shared" si="3"/>
        <v>35653.043100000003</v>
      </c>
    </row>
    <row r="23" spans="1:17" x14ac:dyDescent="0.2">
      <c r="A23" s="13" t="s">
        <v>32</v>
      </c>
      <c r="B23" s="12"/>
      <c r="C23" s="13">
        <v>50688.427000000003</v>
      </c>
      <c r="D23" s="13">
        <v>4.7999999999999996E-3</v>
      </c>
      <c r="E23">
        <f t="shared" si="0"/>
        <v>4541.9255916423863</v>
      </c>
      <c r="F23">
        <f t="shared" si="1"/>
        <v>4542</v>
      </c>
      <c r="G23">
        <f t="shared" si="4"/>
        <v>-0.20939999999973224</v>
      </c>
      <c r="I23">
        <f>+G23</f>
        <v>-0.20939999999973224</v>
      </c>
      <c r="O23">
        <f t="shared" ca="1" si="2"/>
        <v>-0.21267157523875854</v>
      </c>
      <c r="Q23" s="2">
        <f t="shared" si="3"/>
        <v>35669.927000000003</v>
      </c>
    </row>
    <row r="24" spans="1:17" x14ac:dyDescent="0.2">
      <c r="A24" s="11" t="s">
        <v>30</v>
      </c>
      <c r="B24" s="12" t="s">
        <v>31</v>
      </c>
      <c r="C24" s="13">
        <v>53674.296999999999</v>
      </c>
      <c r="D24" s="13">
        <v>8.0000000000000002E-3</v>
      </c>
      <c r="E24">
        <f t="shared" si="0"/>
        <v>5602.9269419373168</v>
      </c>
      <c r="F24">
        <f t="shared" si="1"/>
        <v>5603</v>
      </c>
      <c r="G24">
        <f t="shared" si="4"/>
        <v>-0.20560000000114087</v>
      </c>
      <c r="I24">
        <f>+G24</f>
        <v>-0.20560000000114087</v>
      </c>
      <c r="O24">
        <f t="shared" ca="1" si="2"/>
        <v>-0.18776066117132209</v>
      </c>
      <c r="Q24" s="2">
        <f t="shared" si="3"/>
        <v>38655.796999999999</v>
      </c>
    </row>
    <row r="25" spans="1:17" x14ac:dyDescent="0.2">
      <c r="A25" s="51" t="s">
        <v>80</v>
      </c>
      <c r="B25" s="53" t="s">
        <v>31</v>
      </c>
      <c r="C25" s="52">
        <v>55050.469700000001</v>
      </c>
      <c r="D25" s="52" t="s">
        <v>57</v>
      </c>
      <c r="E25">
        <f t="shared" si="0"/>
        <v>6091.9372112856227</v>
      </c>
      <c r="F25">
        <f t="shared" si="1"/>
        <v>6092</v>
      </c>
      <c r="G25">
        <f t="shared" si="4"/>
        <v>-0.17669999999634456</v>
      </c>
      <c r="K25">
        <f>+G25</f>
        <v>-0.17669999999634456</v>
      </c>
      <c r="O25">
        <f t="shared" ca="1" si="2"/>
        <v>-0.17627957071045836</v>
      </c>
      <c r="Q25" s="2">
        <f t="shared" si="3"/>
        <v>40031.969700000001</v>
      </c>
    </row>
    <row r="26" spans="1:17" x14ac:dyDescent="0.2">
      <c r="A26" s="51" t="s">
        <v>80</v>
      </c>
      <c r="B26" s="53" t="s">
        <v>31</v>
      </c>
      <c r="C26" s="52">
        <v>55050.470399999998</v>
      </c>
      <c r="D26" s="52" t="s">
        <v>57</v>
      </c>
      <c r="E26">
        <f t="shared" si="0"/>
        <v>6091.9374600241626</v>
      </c>
      <c r="F26">
        <f t="shared" si="1"/>
        <v>6092</v>
      </c>
      <c r="G26">
        <f t="shared" si="4"/>
        <v>-0.17599999999947613</v>
      </c>
      <c r="K26">
        <f>+G26</f>
        <v>-0.17599999999947613</v>
      </c>
      <c r="O26">
        <f t="shared" ca="1" si="2"/>
        <v>-0.17627957071045836</v>
      </c>
      <c r="Q26" s="2">
        <f t="shared" si="3"/>
        <v>40031.970399999998</v>
      </c>
    </row>
    <row r="27" spans="1:17" x14ac:dyDescent="0.2">
      <c r="A27" s="51" t="s">
        <v>80</v>
      </c>
      <c r="B27" s="53" t="s">
        <v>31</v>
      </c>
      <c r="C27" s="52">
        <v>55095.497799999997</v>
      </c>
      <c r="D27" s="52" t="s">
        <v>57</v>
      </c>
      <c r="E27">
        <f t="shared" si="0"/>
        <v>6107.937531092316</v>
      </c>
      <c r="F27">
        <f t="shared" si="1"/>
        <v>6108</v>
      </c>
      <c r="G27">
        <f t="shared" si="4"/>
        <v>-0.17580000000452856</v>
      </c>
      <c r="K27">
        <f>+G27</f>
        <v>-0.17580000000452856</v>
      </c>
      <c r="O27">
        <f t="shared" ca="1" si="2"/>
        <v>-0.17590391130887592</v>
      </c>
      <c r="Q27" s="2">
        <f t="shared" si="3"/>
        <v>40076.997799999997</v>
      </c>
    </row>
    <row r="28" spans="1:17" x14ac:dyDescent="0.2">
      <c r="A28" s="32" t="s">
        <v>34</v>
      </c>
      <c r="B28" s="33" t="s">
        <v>31</v>
      </c>
      <c r="C28" s="32">
        <v>55106.756999999998</v>
      </c>
      <c r="D28" s="32">
        <v>2E-3</v>
      </c>
      <c r="E28">
        <f t="shared" si="0"/>
        <v>6111.9383839101683</v>
      </c>
      <c r="F28">
        <f t="shared" si="1"/>
        <v>6112</v>
      </c>
      <c r="G28">
        <f t="shared" si="4"/>
        <v>-0.17339999999967404</v>
      </c>
      <c r="J28">
        <f>+G28</f>
        <v>-0.17339999999967404</v>
      </c>
      <c r="O28">
        <f t="shared" ca="1" si="2"/>
        <v>-0.17580999645848031</v>
      </c>
      <c r="Q28" s="2">
        <f t="shared" si="3"/>
        <v>40088.256999999998</v>
      </c>
    </row>
    <row r="29" spans="1:17" x14ac:dyDescent="0.2">
      <c r="A29" s="11" t="s">
        <v>42</v>
      </c>
      <c r="B29" s="12" t="s">
        <v>31</v>
      </c>
      <c r="C29" s="13">
        <v>55793.426059999998</v>
      </c>
      <c r="D29" s="13">
        <v>1E-4</v>
      </c>
      <c r="E29">
        <f t="shared" si="0"/>
        <v>6355.9398976618568</v>
      </c>
      <c r="F29">
        <f t="shared" si="1"/>
        <v>6356</v>
      </c>
      <c r="G29">
        <f t="shared" si="4"/>
        <v>-0.16913999999815132</v>
      </c>
      <c r="J29">
        <f>+G29</f>
        <v>-0.16913999999815132</v>
      </c>
      <c r="O29">
        <f t="shared" ca="1" si="2"/>
        <v>-0.17008119058434787</v>
      </c>
      <c r="Q29" s="2">
        <f t="shared" si="3"/>
        <v>40774.926059999998</v>
      </c>
    </row>
    <row r="30" spans="1:17" x14ac:dyDescent="0.2">
      <c r="A30" s="34" t="s">
        <v>46</v>
      </c>
      <c r="B30" s="35" t="s">
        <v>31</v>
      </c>
      <c r="C30" s="36">
        <v>56505.430200000003</v>
      </c>
      <c r="D30" s="37">
        <v>2.0999999999999999E-3</v>
      </c>
      <c r="E30">
        <f t="shared" si="0"/>
        <v>6608.943998294365</v>
      </c>
      <c r="F30">
        <f t="shared" si="1"/>
        <v>6609</v>
      </c>
      <c r="G30">
        <f t="shared" si="4"/>
        <v>-0.15759999999863794</v>
      </c>
      <c r="J30">
        <f>+G30</f>
        <v>-0.15759999999863794</v>
      </c>
      <c r="O30">
        <f t="shared" ca="1" si="2"/>
        <v>-0.16414107629682534</v>
      </c>
      <c r="Q30" s="2">
        <f t="shared" si="3"/>
        <v>41486.930200000003</v>
      </c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3"/>
  <sheetViews>
    <sheetView workbookViewId="0">
      <selection activeCell="A17" sqref="A17:D19"/>
    </sheetView>
  </sheetViews>
  <sheetFormatPr defaultRowHeight="12.75" x14ac:dyDescent="0.2"/>
  <cols>
    <col min="1" max="1" width="19.7109375" style="10" customWidth="1"/>
    <col min="2" max="2" width="4.42578125" style="15" customWidth="1"/>
    <col min="3" max="3" width="12.7109375" style="10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0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38" t="s">
        <v>47</v>
      </c>
      <c r="I1" s="39" t="s">
        <v>48</v>
      </c>
      <c r="J1" s="40" t="s">
        <v>49</v>
      </c>
    </row>
    <row r="2" spans="1:16" x14ac:dyDescent="0.2">
      <c r="I2" s="41" t="s">
        <v>50</v>
      </c>
      <c r="J2" s="42" t="s">
        <v>51</v>
      </c>
    </row>
    <row r="3" spans="1:16" x14ac:dyDescent="0.2">
      <c r="A3" s="43" t="s">
        <v>52</v>
      </c>
      <c r="I3" s="41" t="s">
        <v>53</v>
      </c>
      <c r="J3" s="42" t="s">
        <v>54</v>
      </c>
    </row>
    <row r="4" spans="1:16" x14ac:dyDescent="0.2">
      <c r="I4" s="41" t="s">
        <v>55</v>
      </c>
      <c r="J4" s="42" t="s">
        <v>54</v>
      </c>
    </row>
    <row r="5" spans="1:16" ht="13.5" thickBot="1" x14ac:dyDescent="0.25">
      <c r="I5" s="44" t="s">
        <v>56</v>
      </c>
      <c r="J5" s="45" t="s">
        <v>57</v>
      </c>
    </row>
    <row r="10" spans="1:16" ht="13.5" thickBot="1" x14ac:dyDescent="0.25"/>
    <row r="11" spans="1:16" ht="12.75" customHeight="1" thickBot="1" x14ac:dyDescent="0.25">
      <c r="A11" s="10" t="str">
        <f t="shared" ref="A11:A19" si="0">P11</f>
        <v>IBVS 4887 </v>
      </c>
      <c r="B11" s="3" t="str">
        <f t="shared" ref="B11:B19" si="1">IF(H11=INT(H11),"I","II")</f>
        <v>I</v>
      </c>
      <c r="C11" s="10">
        <f t="shared" ref="C11:C19" si="2">1*G11</f>
        <v>50671.543100000003</v>
      </c>
      <c r="D11" s="15" t="str">
        <f t="shared" ref="D11:D19" si="3">VLOOKUP(F11,I$1:J$5,2,FALSE)</f>
        <v>vis</v>
      </c>
      <c r="E11" s="46">
        <f>VLOOKUP(C11,Active!C$21:E$973,3,FALSE)</f>
        <v>4535.9260535853891</v>
      </c>
      <c r="F11" s="3" t="s">
        <v>56</v>
      </c>
      <c r="G11" s="15" t="str">
        <f t="shared" ref="G11:G19" si="4">MID(I11,3,LEN(I11)-3)</f>
        <v>50671.5431</v>
      </c>
      <c r="H11" s="10">
        <f t="shared" ref="H11:H19" si="5">1*K11</f>
        <v>4536</v>
      </c>
      <c r="I11" s="47" t="s">
        <v>58</v>
      </c>
      <c r="J11" s="48" t="s">
        <v>59</v>
      </c>
      <c r="K11" s="47">
        <v>4536</v>
      </c>
      <c r="L11" s="47" t="s">
        <v>60</v>
      </c>
      <c r="M11" s="48" t="s">
        <v>61</v>
      </c>
      <c r="N11" s="48" t="s">
        <v>62</v>
      </c>
      <c r="O11" s="49" t="s">
        <v>63</v>
      </c>
      <c r="P11" s="50" t="s">
        <v>64</v>
      </c>
    </row>
    <row r="12" spans="1:16" ht="12.75" customHeight="1" thickBot="1" x14ac:dyDescent="0.25">
      <c r="A12" s="10" t="str">
        <f t="shared" si="0"/>
        <v>IBVS 4887 </v>
      </c>
      <c r="B12" s="3" t="str">
        <f t="shared" si="1"/>
        <v>I</v>
      </c>
      <c r="C12" s="10">
        <f t="shared" si="2"/>
        <v>50688.427000000003</v>
      </c>
      <c r="D12" s="15" t="str">
        <f t="shared" si="3"/>
        <v>vis</v>
      </c>
      <c r="E12" s="46">
        <f>VLOOKUP(C12,Active!C$21:E$973,3,FALSE)</f>
        <v>4541.9255916423863</v>
      </c>
      <c r="F12" s="3" t="s">
        <v>56</v>
      </c>
      <c r="G12" s="15" t="str">
        <f t="shared" si="4"/>
        <v>50688.4270</v>
      </c>
      <c r="H12" s="10">
        <f t="shared" si="5"/>
        <v>4542</v>
      </c>
      <c r="I12" s="47" t="s">
        <v>65</v>
      </c>
      <c r="J12" s="48" t="s">
        <v>66</v>
      </c>
      <c r="K12" s="47">
        <v>4542</v>
      </c>
      <c r="L12" s="47" t="s">
        <v>67</v>
      </c>
      <c r="M12" s="48" t="s">
        <v>61</v>
      </c>
      <c r="N12" s="48" t="s">
        <v>62</v>
      </c>
      <c r="O12" s="49" t="s">
        <v>68</v>
      </c>
      <c r="P12" s="50" t="s">
        <v>64</v>
      </c>
    </row>
    <row r="13" spans="1:16" ht="12.75" customHeight="1" thickBot="1" x14ac:dyDescent="0.25">
      <c r="A13" s="10" t="str">
        <f t="shared" si="0"/>
        <v>IBVS 5713 </v>
      </c>
      <c r="B13" s="3" t="str">
        <f t="shared" si="1"/>
        <v>I</v>
      </c>
      <c r="C13" s="10">
        <f t="shared" si="2"/>
        <v>53674.296999999999</v>
      </c>
      <c r="D13" s="15" t="str">
        <f t="shared" si="3"/>
        <v>vis</v>
      </c>
      <c r="E13" s="46">
        <f>VLOOKUP(C13,Active!C$21:E$973,3,FALSE)</f>
        <v>5602.9269419373168</v>
      </c>
      <c r="F13" s="3" t="s">
        <v>56</v>
      </c>
      <c r="G13" s="15" t="str">
        <f t="shared" si="4"/>
        <v>53674.297</v>
      </c>
      <c r="H13" s="10">
        <f t="shared" si="5"/>
        <v>5603</v>
      </c>
      <c r="I13" s="47" t="s">
        <v>69</v>
      </c>
      <c r="J13" s="48" t="s">
        <v>70</v>
      </c>
      <c r="K13" s="47">
        <v>5603</v>
      </c>
      <c r="L13" s="47" t="s">
        <v>71</v>
      </c>
      <c r="M13" s="48" t="s">
        <v>61</v>
      </c>
      <c r="N13" s="48" t="s">
        <v>62</v>
      </c>
      <c r="O13" s="49" t="s">
        <v>72</v>
      </c>
      <c r="P13" s="50" t="s">
        <v>73</v>
      </c>
    </row>
    <row r="14" spans="1:16" ht="12.75" customHeight="1" thickBot="1" x14ac:dyDescent="0.25">
      <c r="A14" s="10" t="str">
        <f t="shared" si="0"/>
        <v>IBVS 5920 </v>
      </c>
      <c r="B14" s="3" t="str">
        <f t="shared" si="1"/>
        <v>I</v>
      </c>
      <c r="C14" s="10">
        <f t="shared" si="2"/>
        <v>55106.756999999998</v>
      </c>
      <c r="D14" s="15" t="str">
        <f t="shared" si="3"/>
        <v>vis</v>
      </c>
      <c r="E14" s="46">
        <f>VLOOKUP(C14,Active!C$21:E$973,3,FALSE)</f>
        <v>6111.9383839101683</v>
      </c>
      <c r="F14" s="3" t="s">
        <v>56</v>
      </c>
      <c r="G14" s="15" t="str">
        <f t="shared" si="4"/>
        <v>55106.757</v>
      </c>
      <c r="H14" s="10">
        <f t="shared" si="5"/>
        <v>6112</v>
      </c>
      <c r="I14" s="47" t="s">
        <v>91</v>
      </c>
      <c r="J14" s="48" t="s">
        <v>92</v>
      </c>
      <c r="K14" s="47" t="s">
        <v>93</v>
      </c>
      <c r="L14" s="47" t="s">
        <v>94</v>
      </c>
      <c r="M14" s="48" t="s">
        <v>77</v>
      </c>
      <c r="N14" s="48" t="s">
        <v>56</v>
      </c>
      <c r="O14" s="49" t="s">
        <v>95</v>
      </c>
      <c r="P14" s="50" t="s">
        <v>96</v>
      </c>
    </row>
    <row r="15" spans="1:16" ht="12.75" customHeight="1" thickBot="1" x14ac:dyDescent="0.25">
      <c r="A15" s="10" t="str">
        <f t="shared" si="0"/>
        <v>OEJV 0160 </v>
      </c>
      <c r="B15" s="3" t="str">
        <f t="shared" si="1"/>
        <v>I</v>
      </c>
      <c r="C15" s="10">
        <f t="shared" si="2"/>
        <v>55793.426059999998</v>
      </c>
      <c r="D15" s="15" t="str">
        <f t="shared" si="3"/>
        <v>vis</v>
      </c>
      <c r="E15" s="46">
        <f>VLOOKUP(C15,Active!C$21:E$973,3,FALSE)</f>
        <v>6355.9398976618568</v>
      </c>
      <c r="F15" s="3" t="s">
        <v>56</v>
      </c>
      <c r="G15" s="15" t="str">
        <f t="shared" si="4"/>
        <v>55793.42606</v>
      </c>
      <c r="H15" s="10">
        <f t="shared" si="5"/>
        <v>6356</v>
      </c>
      <c r="I15" s="47" t="s">
        <v>97</v>
      </c>
      <c r="J15" s="48" t="s">
        <v>98</v>
      </c>
      <c r="K15" s="47" t="s">
        <v>99</v>
      </c>
      <c r="L15" s="47" t="s">
        <v>100</v>
      </c>
      <c r="M15" s="48" t="s">
        <v>77</v>
      </c>
      <c r="N15" s="48" t="s">
        <v>48</v>
      </c>
      <c r="O15" s="49" t="s">
        <v>101</v>
      </c>
      <c r="P15" s="50" t="s">
        <v>102</v>
      </c>
    </row>
    <row r="16" spans="1:16" ht="12.75" customHeight="1" thickBot="1" x14ac:dyDescent="0.25">
      <c r="A16" s="10" t="str">
        <f t="shared" si="0"/>
        <v>BAVM 234 </v>
      </c>
      <c r="B16" s="3" t="str">
        <f t="shared" si="1"/>
        <v>I</v>
      </c>
      <c r="C16" s="10">
        <f t="shared" si="2"/>
        <v>56505.430200000003</v>
      </c>
      <c r="D16" s="15" t="str">
        <f t="shared" si="3"/>
        <v>vis</v>
      </c>
      <c r="E16" s="46">
        <f>VLOOKUP(C16,Active!C$21:E$973,3,FALSE)</f>
        <v>6608.943998294365</v>
      </c>
      <c r="F16" s="3" t="s">
        <v>56</v>
      </c>
      <c r="G16" s="15" t="str">
        <f t="shared" si="4"/>
        <v>56505.4302</v>
      </c>
      <c r="H16" s="10">
        <f t="shared" si="5"/>
        <v>6609</v>
      </c>
      <c r="I16" s="47" t="s">
        <v>103</v>
      </c>
      <c r="J16" s="48" t="s">
        <v>104</v>
      </c>
      <c r="K16" s="47" t="s">
        <v>105</v>
      </c>
      <c r="L16" s="47" t="s">
        <v>106</v>
      </c>
      <c r="M16" s="48" t="s">
        <v>77</v>
      </c>
      <c r="N16" s="48" t="s">
        <v>78</v>
      </c>
      <c r="O16" s="49" t="s">
        <v>79</v>
      </c>
      <c r="P16" s="50" t="s">
        <v>107</v>
      </c>
    </row>
    <row r="17" spans="1:16" ht="12.75" customHeight="1" thickBot="1" x14ac:dyDescent="0.25">
      <c r="A17" s="10" t="str">
        <f t="shared" si="0"/>
        <v>BAVM 212 </v>
      </c>
      <c r="B17" s="3" t="str">
        <f t="shared" si="1"/>
        <v>I</v>
      </c>
      <c r="C17" s="10">
        <f t="shared" si="2"/>
        <v>55050.469700000001</v>
      </c>
      <c r="D17" s="15" t="str">
        <f t="shared" si="3"/>
        <v>vis</v>
      </c>
      <c r="E17" s="46">
        <f>VLOOKUP(C17,Active!C$21:E$973,3,FALSE)</f>
        <v>6091.9372112856227</v>
      </c>
      <c r="F17" s="3" t="s">
        <v>56</v>
      </c>
      <c r="G17" s="15" t="str">
        <f t="shared" si="4"/>
        <v>55050.4697</v>
      </c>
      <c r="H17" s="10">
        <f t="shared" si="5"/>
        <v>6092</v>
      </c>
      <c r="I17" s="47" t="s">
        <v>74</v>
      </c>
      <c r="J17" s="48" t="s">
        <v>75</v>
      </c>
      <c r="K17" s="47">
        <v>6092</v>
      </c>
      <c r="L17" s="47" t="s">
        <v>76</v>
      </c>
      <c r="M17" s="48" t="s">
        <v>77</v>
      </c>
      <c r="N17" s="48" t="s">
        <v>78</v>
      </c>
      <c r="O17" s="49" t="s">
        <v>79</v>
      </c>
      <c r="P17" s="50" t="s">
        <v>80</v>
      </c>
    </row>
    <row r="18" spans="1:16" ht="12.75" customHeight="1" thickBot="1" x14ac:dyDescent="0.25">
      <c r="A18" s="10" t="str">
        <f t="shared" si="0"/>
        <v>BAVM 212 </v>
      </c>
      <c r="B18" s="3" t="str">
        <f t="shared" si="1"/>
        <v>I</v>
      </c>
      <c r="C18" s="10">
        <f t="shared" si="2"/>
        <v>55050.470399999998</v>
      </c>
      <c r="D18" s="15" t="str">
        <f t="shared" si="3"/>
        <v>vis</v>
      </c>
      <c r="E18" s="46">
        <f>VLOOKUP(C18,Active!C$21:E$973,3,FALSE)</f>
        <v>6091.9374600241626</v>
      </c>
      <c r="F18" s="3" t="s">
        <v>56</v>
      </c>
      <c r="G18" s="15" t="str">
        <f t="shared" si="4"/>
        <v>55050.4704</v>
      </c>
      <c r="H18" s="10">
        <f t="shared" si="5"/>
        <v>6092</v>
      </c>
      <c r="I18" s="47" t="s">
        <v>81</v>
      </c>
      <c r="J18" s="48" t="s">
        <v>82</v>
      </c>
      <c r="K18" s="47" t="s">
        <v>83</v>
      </c>
      <c r="L18" s="47" t="s">
        <v>84</v>
      </c>
      <c r="M18" s="48" t="s">
        <v>77</v>
      </c>
      <c r="N18" s="48" t="s">
        <v>85</v>
      </c>
      <c r="O18" s="49" t="s">
        <v>86</v>
      </c>
      <c r="P18" s="50" t="s">
        <v>80</v>
      </c>
    </row>
    <row r="19" spans="1:16" ht="12.75" customHeight="1" thickBot="1" x14ac:dyDescent="0.25">
      <c r="A19" s="10" t="str">
        <f t="shared" si="0"/>
        <v>BAVM 212 </v>
      </c>
      <c r="B19" s="3" t="str">
        <f t="shared" si="1"/>
        <v>I</v>
      </c>
      <c r="C19" s="10">
        <f t="shared" si="2"/>
        <v>55095.497799999997</v>
      </c>
      <c r="D19" s="15" t="str">
        <f t="shared" si="3"/>
        <v>vis</v>
      </c>
      <c r="E19" s="46">
        <f>VLOOKUP(C19,Active!C$21:E$973,3,FALSE)</f>
        <v>6107.937531092316</v>
      </c>
      <c r="F19" s="3" t="s">
        <v>56</v>
      </c>
      <c r="G19" s="15" t="str">
        <f t="shared" si="4"/>
        <v>55095.4978</v>
      </c>
      <c r="H19" s="10">
        <f t="shared" si="5"/>
        <v>6108</v>
      </c>
      <c r="I19" s="47" t="s">
        <v>87</v>
      </c>
      <c r="J19" s="48" t="s">
        <v>88</v>
      </c>
      <c r="K19" s="47" t="s">
        <v>89</v>
      </c>
      <c r="L19" s="47" t="s">
        <v>90</v>
      </c>
      <c r="M19" s="48" t="s">
        <v>77</v>
      </c>
      <c r="N19" s="48" t="s">
        <v>78</v>
      </c>
      <c r="O19" s="49" t="s">
        <v>79</v>
      </c>
      <c r="P19" s="50" t="s">
        <v>80</v>
      </c>
    </row>
    <row r="20" spans="1:16" x14ac:dyDescent="0.2">
      <c r="B20" s="3"/>
      <c r="E20" s="46"/>
      <c r="F20" s="3"/>
    </row>
    <row r="21" spans="1:16" x14ac:dyDescent="0.2">
      <c r="B21" s="3"/>
      <c r="E21" s="46"/>
      <c r="F21" s="3"/>
    </row>
    <row r="22" spans="1:16" x14ac:dyDescent="0.2">
      <c r="B22" s="3"/>
      <c r="E22" s="46"/>
      <c r="F22" s="3"/>
    </row>
    <row r="23" spans="1:16" x14ac:dyDescent="0.2">
      <c r="B23" s="3"/>
      <c r="E23" s="46"/>
      <c r="F23" s="3"/>
    </row>
    <row r="24" spans="1:16" x14ac:dyDescent="0.2">
      <c r="B24" s="3"/>
      <c r="E24" s="46"/>
      <c r="F24" s="3"/>
    </row>
    <row r="25" spans="1:16" x14ac:dyDescent="0.2">
      <c r="B25" s="3"/>
      <c r="E25" s="46"/>
      <c r="F25" s="3"/>
    </row>
    <row r="26" spans="1:16" x14ac:dyDescent="0.2">
      <c r="B26" s="3"/>
      <c r="E26" s="46"/>
      <c r="F26" s="3"/>
    </row>
    <row r="27" spans="1:16" x14ac:dyDescent="0.2">
      <c r="B27" s="3"/>
      <c r="E27" s="46"/>
      <c r="F27" s="3"/>
    </row>
    <row r="28" spans="1:16" x14ac:dyDescent="0.2">
      <c r="B28" s="3"/>
      <c r="E28" s="46"/>
      <c r="F28" s="3"/>
    </row>
    <row r="29" spans="1:16" x14ac:dyDescent="0.2">
      <c r="B29" s="3"/>
      <c r="E29" s="46"/>
      <c r="F29" s="3"/>
    </row>
    <row r="30" spans="1:16" x14ac:dyDescent="0.2">
      <c r="B30" s="3"/>
      <c r="E30" s="46"/>
      <c r="F30" s="3"/>
    </row>
    <row r="31" spans="1:16" x14ac:dyDescent="0.2">
      <c r="B31" s="3"/>
      <c r="E31" s="46"/>
      <c r="F31" s="3"/>
    </row>
    <row r="32" spans="1:16" x14ac:dyDescent="0.2">
      <c r="B32" s="3"/>
      <c r="E32" s="46"/>
      <c r="F32" s="3"/>
    </row>
    <row r="33" spans="2:6" x14ac:dyDescent="0.2">
      <c r="B33" s="3"/>
      <c r="E33" s="46"/>
      <c r="F33" s="3"/>
    </row>
    <row r="34" spans="2:6" x14ac:dyDescent="0.2">
      <c r="B34" s="3"/>
      <c r="E34" s="46"/>
      <c r="F34" s="3"/>
    </row>
    <row r="35" spans="2:6" x14ac:dyDescent="0.2">
      <c r="B35" s="3"/>
      <c r="E35" s="46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</sheetData>
  <phoneticPr fontId="7" type="noConversion"/>
  <hyperlinks>
    <hyperlink ref="P11" r:id="rId1" display="http://www.konkoly.hu/cgi-bin/IBVS?4887"/>
    <hyperlink ref="P12" r:id="rId2" display="http://www.konkoly.hu/cgi-bin/IBVS?4887"/>
    <hyperlink ref="P13" r:id="rId3" display="http://www.konkoly.hu/cgi-bin/IBVS?5713"/>
    <hyperlink ref="P17" r:id="rId4" display="http://www.bav-astro.de/sfs/BAVM_link.php?BAVMnr=212"/>
    <hyperlink ref="P18" r:id="rId5" display="http://www.bav-astro.de/sfs/BAVM_link.php?BAVMnr=212"/>
    <hyperlink ref="P19" r:id="rId6" display="http://www.bav-astro.de/sfs/BAVM_link.php?BAVMnr=212"/>
    <hyperlink ref="P14" r:id="rId7" display="http://www.konkoly.hu/cgi-bin/IBVS?5920"/>
    <hyperlink ref="P15" r:id="rId8" display="http://var.astro.cz/oejv/issues/oejv0160.pdf"/>
    <hyperlink ref="P16" r:id="rId9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2024-02-16T04:41:34Z</dcterms:modified>
</cp:coreProperties>
</file>